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신영식\"/>
    </mc:Choice>
  </mc:AlternateContent>
  <bookViews>
    <workbookView xWindow="240" yWindow="396" windowWidth="4272" windowHeight="7020" activeTab="1"/>
  </bookViews>
  <sheets>
    <sheet name="Cash" sheetId="12" r:id="rId1"/>
    <sheet name="사업개요" sheetId="9" r:id="rId2"/>
    <sheet name="시설개요" sheetId="11" r:id="rId3"/>
  </sheets>
  <calcPr calcId="162913" calcMode="manual" iterate="1" iterateCount="500"/>
</workbook>
</file>

<file path=xl/calcChain.xml><?xml version="1.0" encoding="utf-8"?>
<calcChain xmlns="http://schemas.openxmlformats.org/spreadsheetml/2006/main">
  <c r="C23" i="9" l="1"/>
  <c r="AG5" i="12" l="1"/>
  <c r="E4" i="12" l="1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AB4" i="12"/>
  <c r="AC4" i="12"/>
  <c r="AD4" i="12"/>
  <c r="AE4" i="12"/>
  <c r="AF4" i="12"/>
  <c r="AG4" i="12"/>
  <c r="D4" i="12"/>
  <c r="I23" i="12" l="1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D23" i="12"/>
  <c r="E2" i="12"/>
  <c r="F2" i="12"/>
  <c r="G2" i="12"/>
  <c r="H2" i="12"/>
  <c r="I2" i="12"/>
  <c r="J2" i="12"/>
  <c r="K2" i="12"/>
  <c r="L2" i="12"/>
  <c r="M2" i="12"/>
  <c r="N2" i="12"/>
  <c r="O2" i="12"/>
  <c r="P2" i="12"/>
  <c r="Q2" i="12"/>
  <c r="R2" i="12"/>
  <c r="S2" i="12"/>
  <c r="T2" i="12"/>
  <c r="U2" i="12"/>
  <c r="V2" i="12"/>
  <c r="W2" i="12"/>
  <c r="X2" i="12"/>
  <c r="Y2" i="12"/>
  <c r="Z2" i="12"/>
  <c r="AA2" i="12"/>
  <c r="AB2" i="12"/>
  <c r="AC2" i="12"/>
  <c r="AD2" i="12"/>
  <c r="AE2" i="12"/>
  <c r="AF2" i="12"/>
  <c r="AG2" i="12"/>
  <c r="D2" i="12"/>
  <c r="O17" i="9" l="1"/>
  <c r="O15" i="9"/>
  <c r="P15" i="9" s="1"/>
  <c r="O16" i="9"/>
  <c r="T25" i="11"/>
  <c r="U25" i="11" s="1"/>
  <c r="AQ5" i="11"/>
  <c r="AR5" i="11" s="1"/>
  <c r="AQ6" i="11"/>
  <c r="AR6" i="11" s="1"/>
  <c r="AQ7" i="11"/>
  <c r="AR7" i="11" s="1"/>
  <c r="AQ8" i="11"/>
  <c r="AR8" i="11" s="1"/>
  <c r="AQ9" i="11"/>
  <c r="AR9" i="11" s="1"/>
  <c r="AQ10" i="11"/>
  <c r="AR10" i="11" s="1"/>
  <c r="AQ11" i="11"/>
  <c r="AR11" i="11" s="1"/>
  <c r="AQ12" i="11"/>
  <c r="AR12" i="11" s="1"/>
  <c r="AQ13" i="11"/>
  <c r="AR13" i="11" s="1"/>
  <c r="AQ14" i="11"/>
  <c r="AR14" i="11" s="1"/>
  <c r="AQ15" i="11"/>
  <c r="AQ16" i="11"/>
  <c r="AR16" i="11" s="1"/>
  <c r="AQ17" i="11"/>
  <c r="AR17" i="11" s="1"/>
  <c r="AQ18" i="11"/>
  <c r="AR18" i="11" s="1"/>
  <c r="AQ19" i="11"/>
  <c r="AR19" i="11" s="1"/>
  <c r="AQ4" i="11"/>
  <c r="AR4" i="11" s="1"/>
  <c r="Z5" i="11"/>
  <c r="Z10" i="11"/>
  <c r="Z12" i="11"/>
  <c r="AH12" i="11" s="1"/>
  <c r="Z13" i="11"/>
  <c r="AH13" i="11" s="1"/>
  <c r="Z4" i="1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T17" i="11" s="1"/>
  <c r="S18" i="11"/>
  <c r="S19" i="11"/>
  <c r="S4" i="11"/>
  <c r="E20" i="11"/>
  <c r="B56" i="12"/>
  <c r="B62" i="12" s="1"/>
  <c r="B54" i="12"/>
  <c r="B60" i="12" s="1"/>
  <c r="B53" i="12"/>
  <c r="B59" i="12" s="1"/>
  <c r="D32" i="12"/>
  <c r="E3" i="12"/>
  <c r="P25" i="11"/>
  <c r="R20" i="11"/>
  <c r="I16" i="9" s="1"/>
  <c r="I18" i="9" s="1"/>
  <c r="I21" i="9" s="1"/>
  <c r="I22" i="9" s="1"/>
  <c r="D20" i="11"/>
  <c r="I7" i="11" s="1"/>
  <c r="C20" i="11"/>
  <c r="I15" i="9" s="1"/>
  <c r="AV19" i="11"/>
  <c r="AD19" i="11"/>
  <c r="AI19" i="11" s="1"/>
  <c r="Z19" i="11"/>
  <c r="AH19" i="11" s="1"/>
  <c r="P19" i="11"/>
  <c r="AV18" i="11"/>
  <c r="AD18" i="11"/>
  <c r="Z18" i="11"/>
  <c r="P18" i="11"/>
  <c r="AV17" i="11"/>
  <c r="AD17" i="11"/>
  <c r="AI17" i="11" s="1"/>
  <c r="Z17" i="11"/>
  <c r="P17" i="11"/>
  <c r="BJ16" i="11"/>
  <c r="AV16" i="11"/>
  <c r="AD16" i="11"/>
  <c r="AI16" i="11" s="1"/>
  <c r="Z16" i="11"/>
  <c r="AH16" i="11" s="1"/>
  <c r="P16" i="11"/>
  <c r="BJ15" i="11"/>
  <c r="AV15" i="11"/>
  <c r="AR15" i="11"/>
  <c r="AD15" i="11"/>
  <c r="AI15" i="11" s="1"/>
  <c r="Z15" i="11"/>
  <c r="P15" i="11"/>
  <c r="BJ14" i="11"/>
  <c r="AV14" i="11"/>
  <c r="AD14" i="11"/>
  <c r="Z14" i="11"/>
  <c r="AH14" i="11" s="1"/>
  <c r="P14" i="11"/>
  <c r="BJ13" i="11"/>
  <c r="AV13" i="11"/>
  <c r="AD13" i="11"/>
  <c r="P13" i="11"/>
  <c r="BJ12" i="11"/>
  <c r="AV12" i="11"/>
  <c r="AD12" i="11"/>
  <c r="P12" i="11"/>
  <c r="AV11" i="11"/>
  <c r="AD11" i="11"/>
  <c r="AI11" i="11" s="1"/>
  <c r="Z11" i="11"/>
  <c r="P11" i="11"/>
  <c r="AV10" i="11"/>
  <c r="AD10" i="11"/>
  <c r="P10" i="11"/>
  <c r="AV9" i="11"/>
  <c r="AD9" i="11"/>
  <c r="AI9" i="11" s="1"/>
  <c r="Z9" i="11"/>
  <c r="AH9" i="11" s="1"/>
  <c r="P9" i="11"/>
  <c r="I9" i="11"/>
  <c r="AV8" i="11"/>
  <c r="AD8" i="11"/>
  <c r="AI8" i="11" s="1"/>
  <c r="Z8" i="11"/>
  <c r="P8" i="11"/>
  <c r="BN7" i="11"/>
  <c r="BO7" i="11" s="1"/>
  <c r="BJ7" i="11"/>
  <c r="AV7" i="11"/>
  <c r="AD7" i="11"/>
  <c r="AI7" i="11" s="1"/>
  <c r="Z7" i="11"/>
  <c r="AH7" i="11" s="1"/>
  <c r="P7" i="11"/>
  <c r="BN6" i="11"/>
  <c r="BO6" i="11" s="1"/>
  <c r="BJ6" i="11"/>
  <c r="AV6" i="11"/>
  <c r="AD6" i="11"/>
  <c r="AI6" i="11" s="1"/>
  <c r="Z6" i="11"/>
  <c r="P6" i="11"/>
  <c r="BN5" i="11"/>
  <c r="BO5" i="11" s="1"/>
  <c r="BJ5" i="11"/>
  <c r="AV5" i="11"/>
  <c r="AD5" i="11"/>
  <c r="AI5" i="11" s="1"/>
  <c r="P5" i="11"/>
  <c r="N5" i="11"/>
  <c r="N6" i="11" s="1"/>
  <c r="N7" i="11" s="1"/>
  <c r="AV4" i="11"/>
  <c r="AD4" i="11"/>
  <c r="AI4" i="11" s="1"/>
  <c r="P4" i="11"/>
  <c r="L4" i="11" s="1"/>
  <c r="I4" i="11"/>
  <c r="L5" i="11" l="1"/>
  <c r="I12" i="11"/>
  <c r="I18" i="11"/>
  <c r="I5" i="11"/>
  <c r="I6" i="11"/>
  <c r="AJ16" i="11"/>
  <c r="AK16" i="11" s="1"/>
  <c r="BB16" i="11" s="1"/>
  <c r="I11" i="12"/>
  <c r="D33" i="12"/>
  <c r="D34" i="12" s="1"/>
  <c r="D40" i="12" s="1"/>
  <c r="Q11" i="12"/>
  <c r="J11" i="12"/>
  <c r="F11" i="12"/>
  <c r="X11" i="12"/>
  <c r="U11" i="12"/>
  <c r="E23" i="12"/>
  <c r="K5" i="11"/>
  <c r="AP5" i="11" s="1"/>
  <c r="AO5" i="11" s="1"/>
  <c r="AS5" i="11" s="1"/>
  <c r="K4" i="11"/>
  <c r="AP4" i="11" s="1"/>
  <c r="AO4" i="11" s="1"/>
  <c r="U17" i="11"/>
  <c r="T16" i="11"/>
  <c r="U16" i="11" s="1"/>
  <c r="T8" i="11"/>
  <c r="U8" i="11" s="1"/>
  <c r="T15" i="11"/>
  <c r="U15" i="11" s="1"/>
  <c r="T7" i="11"/>
  <c r="U7" i="11" s="1"/>
  <c r="T9" i="11"/>
  <c r="U9" i="11" s="1"/>
  <c r="T14" i="11"/>
  <c r="U14" i="11" s="1"/>
  <c r="T6" i="11"/>
  <c r="T13" i="11"/>
  <c r="U13" i="11" s="1"/>
  <c r="T5" i="11"/>
  <c r="U5" i="11" s="1"/>
  <c r="S20" i="11"/>
  <c r="T4" i="11"/>
  <c r="U4" i="11" s="1"/>
  <c r="T12" i="11"/>
  <c r="U12" i="11" s="1"/>
  <c r="T19" i="11"/>
  <c r="U19" i="11" s="1"/>
  <c r="T11" i="11"/>
  <c r="U11" i="11" s="1"/>
  <c r="T18" i="11"/>
  <c r="U18" i="11" s="1"/>
  <c r="T10" i="11"/>
  <c r="U10" i="11" s="1"/>
  <c r="J16" i="9"/>
  <c r="AB12" i="11"/>
  <c r="AJ19" i="11"/>
  <c r="AK19" i="11"/>
  <c r="BB19" i="11" s="1"/>
  <c r="I17" i="11"/>
  <c r="I15" i="11"/>
  <c r="AA7" i="11"/>
  <c r="I13" i="11"/>
  <c r="F3" i="12"/>
  <c r="F23" i="12" s="1"/>
  <c r="AJ7" i="11"/>
  <c r="AK7" i="11" s="1"/>
  <c r="BB7" i="11" s="1"/>
  <c r="I10" i="11"/>
  <c r="I8" i="11"/>
  <c r="I11" i="11"/>
  <c r="AB13" i="11"/>
  <c r="AA4" i="11"/>
  <c r="AB4" i="11"/>
  <c r="AH4" i="11"/>
  <c r="V20" i="11"/>
  <c r="I17" i="9" s="1"/>
  <c r="J17" i="9" s="1"/>
  <c r="AH5" i="11"/>
  <c r="AB5" i="11"/>
  <c r="AI10" i="11"/>
  <c r="N8" i="11"/>
  <c r="L7" i="11"/>
  <c r="K7" i="11" s="1"/>
  <c r="AP7" i="11" s="1"/>
  <c r="AO7" i="11" s="1"/>
  <c r="AB10" i="11"/>
  <c r="AA10" i="11"/>
  <c r="AH10" i="11"/>
  <c r="AB6" i="11"/>
  <c r="AH6" i="11"/>
  <c r="AA6" i="11"/>
  <c r="AA5" i="11"/>
  <c r="BP6" i="11"/>
  <c r="BP7" i="11"/>
  <c r="BP5" i="11"/>
  <c r="AI13" i="11"/>
  <c r="AJ13" i="11" s="1"/>
  <c r="AK13" i="11" s="1"/>
  <c r="BB13" i="11" s="1"/>
  <c r="AA11" i="11"/>
  <c r="AA14" i="11"/>
  <c r="L6" i="11"/>
  <c r="AH8" i="11"/>
  <c r="AH15" i="11"/>
  <c r="AB15" i="11"/>
  <c r="AA15" i="11"/>
  <c r="AB7" i="11"/>
  <c r="AA8" i="11"/>
  <c r="AA12" i="11"/>
  <c r="AH11" i="11"/>
  <c r="AB11" i="11"/>
  <c r="AB14" i="11"/>
  <c r="AB8" i="11"/>
  <c r="AA9" i="11"/>
  <c r="AJ9" i="11"/>
  <c r="AK9" i="11" s="1"/>
  <c r="BB9" i="11" s="1"/>
  <c r="AB19" i="11"/>
  <c r="AA19" i="11"/>
  <c r="AB9" i="11"/>
  <c r="AI12" i="11"/>
  <c r="AJ12" i="11" s="1"/>
  <c r="AK12" i="11" s="1"/>
  <c r="BB12" i="11" s="1"/>
  <c r="AA13" i="11"/>
  <c r="AI14" i="11"/>
  <c r="AJ14" i="11" s="1"/>
  <c r="AK14" i="11" s="1"/>
  <c r="BB14" i="11" s="1"/>
  <c r="AA16" i="11"/>
  <c r="AB16" i="11"/>
  <c r="AB17" i="11"/>
  <c r="AA17" i="11"/>
  <c r="AH17" i="11"/>
  <c r="AB18" i="11"/>
  <c r="AA18" i="11"/>
  <c r="AH18" i="11"/>
  <c r="I25" i="11"/>
  <c r="I19" i="11"/>
  <c r="I16" i="11"/>
  <c r="I14" i="11"/>
  <c r="AI18" i="11"/>
  <c r="AC15" i="11" l="1"/>
  <c r="AC10" i="11"/>
  <c r="I20" i="11"/>
  <c r="V11" i="12"/>
  <c r="AA11" i="12"/>
  <c r="D11" i="12"/>
  <c r="AE11" i="12"/>
  <c r="Z11" i="12"/>
  <c r="AT5" i="11"/>
  <c r="AU5" i="11" s="1"/>
  <c r="AW5" i="11" s="1"/>
  <c r="AX5" i="11" s="1"/>
  <c r="BD5" i="11" s="1"/>
  <c r="AC7" i="11"/>
  <c r="AE7" i="11" s="1"/>
  <c r="BA7" i="11" s="1"/>
  <c r="W11" i="12"/>
  <c r="S11" i="12"/>
  <c r="G11" i="12"/>
  <c r="AC11" i="12"/>
  <c r="K11" i="12"/>
  <c r="P11" i="12"/>
  <c r="AC12" i="11"/>
  <c r="AE12" i="11" s="1"/>
  <c r="BA12" i="11" s="1"/>
  <c r="N11" i="12"/>
  <c r="AG11" i="12"/>
  <c r="M11" i="12"/>
  <c r="H11" i="12"/>
  <c r="AB11" i="12"/>
  <c r="O11" i="12"/>
  <c r="E11" i="12"/>
  <c r="R11" i="12"/>
  <c r="L11" i="12"/>
  <c r="Y11" i="12"/>
  <c r="T11" i="12"/>
  <c r="AF11" i="12"/>
  <c r="AD11" i="12"/>
  <c r="T20" i="11"/>
  <c r="U6" i="11"/>
  <c r="U20" i="11" s="1"/>
  <c r="AC13" i="11"/>
  <c r="AE13" i="11" s="1"/>
  <c r="BA13" i="11" s="1"/>
  <c r="AC5" i="11"/>
  <c r="AC6" i="11"/>
  <c r="AE6" i="11" s="1"/>
  <c r="BA6" i="11" s="1"/>
  <c r="AC14" i="11"/>
  <c r="AE14" i="11" s="1"/>
  <c r="BA14" i="11" s="1"/>
  <c r="AC16" i="11"/>
  <c r="AE16" i="11" s="1"/>
  <c r="BA16" i="11" s="1"/>
  <c r="G3" i="12"/>
  <c r="G23" i="12" s="1"/>
  <c r="AC8" i="11"/>
  <c r="AE8" i="11" s="1"/>
  <c r="BA8" i="11" s="1"/>
  <c r="K6" i="11"/>
  <c r="AP6" i="11" s="1"/>
  <c r="AO6" i="11" s="1"/>
  <c r="AS6" i="11" s="1"/>
  <c r="AC11" i="11"/>
  <c r="AE11" i="11" s="1"/>
  <c r="BA11" i="11" s="1"/>
  <c r="AC4" i="11"/>
  <c r="AE4" i="11" s="1"/>
  <c r="AE5" i="11"/>
  <c r="BA5" i="11" s="1"/>
  <c r="AE15" i="11"/>
  <c r="BA15" i="11" s="1"/>
  <c r="AT7" i="11"/>
  <c r="AS7" i="11"/>
  <c r="AJ5" i="11"/>
  <c r="AK5" i="11" s="1"/>
  <c r="BB5" i="11" s="1"/>
  <c r="AC17" i="11"/>
  <c r="AC9" i="11"/>
  <c r="L8" i="11"/>
  <c r="K8" i="11" s="1"/>
  <c r="N9" i="11"/>
  <c r="AJ17" i="11"/>
  <c r="AK17" i="11" s="1"/>
  <c r="BB17" i="11" s="1"/>
  <c r="AJ11" i="11"/>
  <c r="AK11" i="11" s="1"/>
  <c r="BB11" i="11" s="1"/>
  <c r="H20" i="11"/>
  <c r="AH20" i="11"/>
  <c r="AJ4" i="11"/>
  <c r="AK4" i="11" s="1"/>
  <c r="AJ18" i="11"/>
  <c r="AK18" i="11" s="1"/>
  <c r="BB18" i="11" s="1"/>
  <c r="AC18" i="11"/>
  <c r="AJ15" i="11"/>
  <c r="AK15" i="11" s="1"/>
  <c r="BB15" i="11" s="1"/>
  <c r="AJ8" i="11"/>
  <c r="AK8" i="11" s="1"/>
  <c r="BB8" i="11" s="1"/>
  <c r="AJ10" i="11"/>
  <c r="AK10" i="11" s="1"/>
  <c r="BB10" i="11" s="1"/>
  <c r="AE10" i="11"/>
  <c r="BA10" i="11" s="1"/>
  <c r="AT4" i="11"/>
  <c r="AS4" i="11"/>
  <c r="AC19" i="11"/>
  <c r="AJ6" i="11"/>
  <c r="AK6" i="11" s="1"/>
  <c r="BB6" i="11" s="1"/>
  <c r="AT6" i="11" l="1"/>
  <c r="AU6" i="11" s="1"/>
  <c r="AW6" i="11" s="1"/>
  <c r="AX6" i="11" s="1"/>
  <c r="BD6" i="11" s="1"/>
  <c r="AU7" i="11"/>
  <c r="AW7" i="11" s="1"/>
  <c r="AX7" i="11" s="1"/>
  <c r="BD7" i="11" s="1"/>
  <c r="AU4" i="11"/>
  <c r="AW4" i="11" s="1"/>
  <c r="AF6" i="11"/>
  <c r="AM6" i="11" s="1"/>
  <c r="BC6" i="11" s="1"/>
  <c r="AF10" i="11"/>
  <c r="AZ10" i="11" s="1"/>
  <c r="AC20" i="11"/>
  <c r="H3" i="12"/>
  <c r="H23" i="12" s="1"/>
  <c r="AF13" i="11"/>
  <c r="AM13" i="11" s="1"/>
  <c r="BC13" i="11" s="1"/>
  <c r="AF16" i="11"/>
  <c r="AZ16" i="11" s="1"/>
  <c r="AK20" i="11"/>
  <c r="BB4" i="11"/>
  <c r="AE17" i="11"/>
  <c r="BA17" i="11" s="1"/>
  <c r="AJ20" i="11"/>
  <c r="N10" i="11"/>
  <c r="L9" i="11"/>
  <c r="K9" i="11" s="1"/>
  <c r="AP9" i="11" s="1"/>
  <c r="AO9" i="11" s="1"/>
  <c r="BA4" i="11"/>
  <c r="AE19" i="11"/>
  <c r="BA19" i="11" s="1"/>
  <c r="AP8" i="11"/>
  <c r="AO8" i="11" s="1"/>
  <c r="AF4" i="11"/>
  <c r="AF12" i="11"/>
  <c r="AE18" i="11"/>
  <c r="BA18" i="11" s="1"/>
  <c r="AZ6" i="11"/>
  <c r="AF7" i="11"/>
  <c r="AF14" i="11"/>
  <c r="AF11" i="11"/>
  <c r="AF8" i="11"/>
  <c r="AE9" i="11"/>
  <c r="BA9" i="11" s="1"/>
  <c r="AF15" i="11"/>
  <c r="AF5" i="11"/>
  <c r="AM16" i="11" l="1"/>
  <c r="BC16" i="11" s="1"/>
  <c r="AM10" i="11"/>
  <c r="BC10" i="11" s="1"/>
  <c r="AZ13" i="11"/>
  <c r="AF9" i="11"/>
  <c r="AZ9" i="11" s="1"/>
  <c r="AE20" i="11"/>
  <c r="E32" i="12"/>
  <c r="BF6" i="11"/>
  <c r="BG6" i="11" s="1"/>
  <c r="AZ11" i="11"/>
  <c r="AM11" i="11"/>
  <c r="BC11" i="11" s="1"/>
  <c r="AF18" i="11"/>
  <c r="N11" i="11"/>
  <c r="L10" i="11"/>
  <c r="K10" i="11" s="1"/>
  <c r="AP10" i="11" s="1"/>
  <c r="AO10" i="11" s="1"/>
  <c r="AZ14" i="11"/>
  <c r="AM14" i="11"/>
  <c r="BC14" i="11" s="1"/>
  <c r="AS8" i="11"/>
  <c r="AT8" i="11"/>
  <c r="AZ8" i="11"/>
  <c r="AM8" i="11"/>
  <c r="BC8" i="11" s="1"/>
  <c r="AZ4" i="11"/>
  <c r="AM4" i="11"/>
  <c r="AZ7" i="11"/>
  <c r="AM7" i="11"/>
  <c r="AX4" i="11"/>
  <c r="BD4" i="11" s="1"/>
  <c r="AM9" i="11"/>
  <c r="BC9" i="11" s="1"/>
  <c r="AM12" i="11"/>
  <c r="BC12" i="11" s="1"/>
  <c r="AZ12" i="11"/>
  <c r="AZ5" i="11"/>
  <c r="AM5" i="11"/>
  <c r="BE6" i="11"/>
  <c r="BH6" i="11" s="1"/>
  <c r="AF19" i="11"/>
  <c r="AS9" i="11"/>
  <c r="AT9" i="11"/>
  <c r="AM15" i="11"/>
  <c r="BC15" i="11" s="1"/>
  <c r="AZ15" i="11"/>
  <c r="AF17" i="11"/>
  <c r="AU8" i="11" l="1"/>
  <c r="AU9" i="11"/>
  <c r="AW9" i="11" s="1"/>
  <c r="AX9" i="11" s="1"/>
  <c r="BD9" i="11" s="1"/>
  <c r="BE9" i="11" s="1"/>
  <c r="BH9" i="11" s="1"/>
  <c r="E33" i="12"/>
  <c r="AF20" i="11"/>
  <c r="AW8" i="11"/>
  <c r="AX8" i="11" s="1"/>
  <c r="BD8" i="11" s="1"/>
  <c r="BE8" i="11" s="1"/>
  <c r="BH8" i="11" s="1"/>
  <c r="BF8" i="11"/>
  <c r="BG8" i="11" s="1"/>
  <c r="BC7" i="11"/>
  <c r="BF7" i="11"/>
  <c r="BG7" i="11" s="1"/>
  <c r="AT10" i="11"/>
  <c r="AS10" i="11"/>
  <c r="AZ18" i="11"/>
  <c r="AM18" i="11"/>
  <c r="BC18" i="11" s="1"/>
  <c r="AZ19" i="11"/>
  <c r="AM19" i="11"/>
  <c r="BC19" i="11" s="1"/>
  <c r="BE7" i="11"/>
  <c r="BH7" i="11" s="1"/>
  <c r="N12" i="11"/>
  <c r="L11" i="11"/>
  <c r="K11" i="11" s="1"/>
  <c r="BC4" i="11"/>
  <c r="BE4" i="11" s="1"/>
  <c r="BF4" i="11"/>
  <c r="BC5" i="11"/>
  <c r="BE5" i="11" s="1"/>
  <c r="BH5" i="11" s="1"/>
  <c r="BF5" i="11"/>
  <c r="BG5" i="11" s="1"/>
  <c r="AZ17" i="11"/>
  <c r="AM17" i="11"/>
  <c r="BC17" i="11" s="1"/>
  <c r="BF9" i="11"/>
  <c r="BG9" i="11" s="1"/>
  <c r="AZ20" i="11" l="1"/>
  <c r="E34" i="12"/>
  <c r="AU10" i="11"/>
  <c r="AW10" i="11" s="1"/>
  <c r="AX10" i="11" s="1"/>
  <c r="BD10" i="11" s="1"/>
  <c r="BE10" i="11" s="1"/>
  <c r="BH10" i="11" s="1"/>
  <c r="AM20" i="11"/>
  <c r="BF10" i="11"/>
  <c r="BG10" i="11" s="1"/>
  <c r="AP11" i="11"/>
  <c r="AO11" i="11" s="1"/>
  <c r="BH4" i="11"/>
  <c r="BG4" i="11"/>
  <c r="N13" i="11"/>
  <c r="L12" i="11"/>
  <c r="K12" i="11" s="1"/>
  <c r="AP12" i="11" s="1"/>
  <c r="AO12" i="11" s="1"/>
  <c r="F32" i="12" l="1"/>
  <c r="F33" i="12" s="1"/>
  <c r="E40" i="12"/>
  <c r="N14" i="11"/>
  <c r="L13" i="11"/>
  <c r="K13" i="11" s="1"/>
  <c r="AP13" i="11" s="1"/>
  <c r="AO13" i="11" s="1"/>
  <c r="AS11" i="11"/>
  <c r="AT11" i="11"/>
  <c r="AS12" i="11"/>
  <c r="AT12" i="11"/>
  <c r="F34" i="12" l="1"/>
  <c r="G32" i="12" s="1"/>
  <c r="AU12" i="11"/>
  <c r="AW12" i="11" s="1"/>
  <c r="AX12" i="11" s="1"/>
  <c r="BD12" i="11" s="1"/>
  <c r="BE12" i="11" s="1"/>
  <c r="BH12" i="11" s="1"/>
  <c r="AU11" i="11"/>
  <c r="BF11" i="11" s="1"/>
  <c r="AW11" i="11"/>
  <c r="AX11" i="11" s="1"/>
  <c r="BD11" i="11" s="1"/>
  <c r="BE11" i="11" s="1"/>
  <c r="AT13" i="11"/>
  <c r="AS13" i="11"/>
  <c r="L14" i="11"/>
  <c r="K14" i="11" s="1"/>
  <c r="AP14" i="11" s="1"/>
  <c r="AO14" i="11" s="1"/>
  <c r="N15" i="11"/>
  <c r="F40" i="12" l="1"/>
  <c r="G33" i="12"/>
  <c r="BF12" i="11"/>
  <c r="BG12" i="11" s="1"/>
  <c r="AU13" i="11"/>
  <c r="BF13" i="11" s="1"/>
  <c r="BG13" i="11" s="1"/>
  <c r="BH11" i="11"/>
  <c r="BG11" i="11"/>
  <c r="N16" i="11"/>
  <c r="L15" i="11"/>
  <c r="K15" i="11" s="1"/>
  <c r="AP15" i="11" s="1"/>
  <c r="AO15" i="11" s="1"/>
  <c r="AT14" i="11"/>
  <c r="AS14" i="11"/>
  <c r="G34" i="12" l="1"/>
  <c r="H32" i="12" s="1"/>
  <c r="AW13" i="11"/>
  <c r="AX13" i="11" s="1"/>
  <c r="BD13" i="11" s="1"/>
  <c r="BE13" i="11" s="1"/>
  <c r="BH13" i="11" s="1"/>
  <c r="AU14" i="11"/>
  <c r="BF14" i="11" s="1"/>
  <c r="AT15" i="11"/>
  <c r="AS15" i="11"/>
  <c r="N17" i="11"/>
  <c r="L16" i="11"/>
  <c r="K16" i="11" s="1"/>
  <c r="AP16" i="11" s="1"/>
  <c r="AO16" i="11" s="1"/>
  <c r="G40" i="12" l="1"/>
  <c r="H33" i="12"/>
  <c r="AU15" i="11"/>
  <c r="AW15" i="11" s="1"/>
  <c r="AX15" i="11" s="1"/>
  <c r="BD15" i="11" s="1"/>
  <c r="BE15" i="11" s="1"/>
  <c r="AW14" i="11"/>
  <c r="AX14" i="11" s="1"/>
  <c r="BD14" i="11" s="1"/>
  <c r="BE14" i="11" s="1"/>
  <c r="BH14" i="11" s="1"/>
  <c r="BG14" i="11"/>
  <c r="N18" i="11"/>
  <c r="L17" i="11"/>
  <c r="K17" i="11" s="1"/>
  <c r="AP17" i="11" s="1"/>
  <c r="AO17" i="11" s="1"/>
  <c r="AT16" i="11"/>
  <c r="AS16" i="11"/>
  <c r="H34" i="12" l="1"/>
  <c r="I32" i="12" s="1"/>
  <c r="I33" i="12" s="1"/>
  <c r="BF15" i="11"/>
  <c r="BG15" i="11" s="1"/>
  <c r="AU16" i="11"/>
  <c r="AW16" i="11" s="1"/>
  <c r="AX16" i="11" s="1"/>
  <c r="BD16" i="11" s="1"/>
  <c r="BE16" i="11" s="1"/>
  <c r="BH16" i="11" s="1"/>
  <c r="BH15" i="11"/>
  <c r="AT17" i="11"/>
  <c r="AS17" i="11"/>
  <c r="L18" i="11"/>
  <c r="K18" i="11" s="1"/>
  <c r="AP18" i="11" s="1"/>
  <c r="AO18" i="11" s="1"/>
  <c r="N19" i="11"/>
  <c r="I34" i="12" l="1"/>
  <c r="I40" i="12" s="1"/>
  <c r="H40" i="12"/>
  <c r="AU17" i="11"/>
  <c r="AW17" i="11" s="1"/>
  <c r="AX17" i="11" s="1"/>
  <c r="BD17" i="11" s="1"/>
  <c r="BE17" i="11" s="1"/>
  <c r="BH17" i="11" s="1"/>
  <c r="BF16" i="11"/>
  <c r="BG16" i="11" s="1"/>
  <c r="L19" i="11"/>
  <c r="K19" i="11" s="1"/>
  <c r="N25" i="11"/>
  <c r="L25" i="11" s="1"/>
  <c r="K25" i="11" s="1"/>
  <c r="X25" i="11" s="1"/>
  <c r="AA25" i="11" s="1"/>
  <c r="AT18" i="11"/>
  <c r="AS18" i="11"/>
  <c r="AU18" i="11" l="1"/>
  <c r="BF17" i="11"/>
  <c r="BG17" i="11" s="1"/>
  <c r="K26" i="12"/>
  <c r="G26" i="12"/>
  <c r="S26" i="12"/>
  <c r="J26" i="12"/>
  <c r="AG26" i="12"/>
  <c r="AA26" i="12"/>
  <c r="H26" i="12"/>
  <c r="D26" i="12"/>
  <c r="AD26" i="12"/>
  <c r="Y26" i="12"/>
  <c r="V26" i="12"/>
  <c r="AF26" i="12"/>
  <c r="M26" i="12"/>
  <c r="W26" i="12"/>
  <c r="U26" i="12"/>
  <c r="F26" i="12"/>
  <c r="E26" i="12"/>
  <c r="AE26" i="12"/>
  <c r="N26" i="12"/>
  <c r="T26" i="12"/>
  <c r="O26" i="12"/>
  <c r="Z26" i="12"/>
  <c r="Q26" i="12"/>
  <c r="X26" i="12"/>
  <c r="L26" i="12"/>
  <c r="R26" i="12"/>
  <c r="AC26" i="12"/>
  <c r="I26" i="12"/>
  <c r="AB26" i="12"/>
  <c r="P26" i="12"/>
  <c r="J32" i="12"/>
  <c r="J33" i="12" s="1"/>
  <c r="AW18" i="11"/>
  <c r="AX18" i="11" s="1"/>
  <c r="BD18" i="11" s="1"/>
  <c r="BE18" i="11" s="1"/>
  <c r="BH18" i="11" s="1"/>
  <c r="BF18" i="11"/>
  <c r="AP19" i="11"/>
  <c r="AO19" i="11" s="1"/>
  <c r="K20" i="11"/>
  <c r="J34" i="12" l="1"/>
  <c r="K32" i="12" s="1"/>
  <c r="K33" i="12" s="1"/>
  <c r="BG18" i="11"/>
  <c r="AS19" i="11"/>
  <c r="AT19" i="11"/>
  <c r="J40" i="12" l="1"/>
  <c r="K34" i="12"/>
  <c r="L32" i="12" s="1"/>
  <c r="AU19" i="11"/>
  <c r="AW19" i="11" s="1"/>
  <c r="AW20" i="11" s="1"/>
  <c r="K40" i="12" l="1"/>
  <c r="L33" i="12"/>
  <c r="AU20" i="11"/>
  <c r="BF19" i="11"/>
  <c r="BG19" i="11" s="1"/>
  <c r="BG20" i="11" s="1"/>
  <c r="AX19" i="11"/>
  <c r="BD19" i="11" s="1"/>
  <c r="BE19" i="11" s="1"/>
  <c r="BH19" i="11" s="1"/>
  <c r="BH20" i="11" s="1"/>
  <c r="Q25" i="12" l="1"/>
  <c r="F25" i="12"/>
  <c r="J25" i="12"/>
  <c r="AD25" i="12"/>
  <c r="X25" i="12"/>
  <c r="AC25" i="12"/>
  <c r="I25" i="12"/>
  <c r="P25" i="12"/>
  <c r="N25" i="12"/>
  <c r="AA25" i="12"/>
  <c r="U25" i="12"/>
  <c r="AG25" i="12"/>
  <c r="K25" i="12"/>
  <c r="S25" i="12"/>
  <c r="E25" i="12"/>
  <c r="D25" i="12"/>
  <c r="O25" i="12"/>
  <c r="M25" i="12"/>
  <c r="W25" i="12"/>
  <c r="AE25" i="12"/>
  <c r="Z25" i="12"/>
  <c r="T25" i="12"/>
  <c r="Y25" i="12"/>
  <c r="AB25" i="12"/>
  <c r="H25" i="12"/>
  <c r="AF25" i="12"/>
  <c r="G25" i="12"/>
  <c r="R25" i="12"/>
  <c r="L25" i="12"/>
  <c r="V25" i="12"/>
  <c r="L34" i="12"/>
  <c r="M32" i="12" s="1"/>
  <c r="BF20" i="11"/>
  <c r="BE20" i="11"/>
  <c r="L40" i="12" l="1"/>
  <c r="M33" i="12"/>
  <c r="M34" i="12" l="1"/>
  <c r="N32" i="12" s="1"/>
  <c r="M40" i="12" l="1"/>
  <c r="N33" i="12"/>
  <c r="N34" i="12" l="1"/>
  <c r="N40" i="12" s="1"/>
  <c r="O32" i="12" l="1"/>
  <c r="O33" i="12" s="1"/>
  <c r="O34" i="12" l="1"/>
  <c r="P32" i="12" s="1"/>
  <c r="O40" i="12" l="1"/>
  <c r="P33" i="12"/>
  <c r="P34" i="12" l="1"/>
  <c r="Q32" i="12" s="1"/>
  <c r="P40" i="12" l="1"/>
  <c r="Q33" i="12"/>
  <c r="Q34" i="12" l="1"/>
  <c r="R32" i="12" s="1"/>
  <c r="Q40" i="12" l="1"/>
  <c r="R33" i="12"/>
  <c r="R34" i="12" l="1"/>
  <c r="S32" i="12" s="1"/>
  <c r="R40" i="12" l="1"/>
  <c r="S33" i="12"/>
  <c r="S34" i="12" l="1"/>
  <c r="T32" i="12" s="1"/>
  <c r="S40" i="12" l="1"/>
  <c r="T33" i="12"/>
  <c r="T34" i="12" l="1"/>
  <c r="U32" i="12" s="1"/>
  <c r="T40" i="12" l="1"/>
  <c r="U33" i="12"/>
  <c r="U34" i="12" l="1"/>
  <c r="V32" i="12" s="1"/>
  <c r="U40" i="12" l="1"/>
  <c r="V33" i="12"/>
  <c r="V34" i="12" l="1"/>
  <c r="V40" i="12" s="1"/>
  <c r="W32" i="12" l="1"/>
  <c r="W33" i="12" s="1"/>
  <c r="W34" i="12" l="1"/>
  <c r="X32" i="12" s="1"/>
  <c r="W40" i="12" l="1"/>
  <c r="X33" i="12"/>
  <c r="X34" i="12" l="1"/>
  <c r="Y32" i="12" s="1"/>
  <c r="X40" i="12" l="1"/>
  <c r="Y33" i="12"/>
  <c r="Y34" i="12" l="1"/>
  <c r="Z32" i="12" s="1"/>
  <c r="Y40" i="12" l="1"/>
  <c r="Z33" i="12"/>
  <c r="Z34" i="12" l="1"/>
  <c r="AA32" i="12" s="1"/>
  <c r="Z40" i="12" l="1"/>
  <c r="AA33" i="12"/>
  <c r="AA34" i="12" l="1"/>
  <c r="AB32" i="12" s="1"/>
  <c r="AA40" i="12" l="1"/>
  <c r="AB33" i="12"/>
  <c r="AB34" i="12" l="1"/>
  <c r="AC32" i="12" s="1"/>
  <c r="AB40" i="12" l="1"/>
  <c r="AC33" i="12"/>
  <c r="AC34" i="12" l="1"/>
  <c r="AD32" i="12" s="1"/>
  <c r="AC40" i="12" l="1"/>
  <c r="AD33" i="12"/>
  <c r="AD34" i="12" l="1"/>
  <c r="AE32" i="12" s="1"/>
  <c r="AD40" i="12" l="1"/>
  <c r="AE33" i="12"/>
  <c r="AE34" i="12" l="1"/>
  <c r="AF32" i="12" s="1"/>
  <c r="AE40" i="12" l="1"/>
  <c r="AF33" i="12"/>
  <c r="AF34" i="12" l="1"/>
  <c r="AF40" i="12" s="1"/>
  <c r="AG32" i="12" l="1"/>
  <c r="AG33" i="12" s="1"/>
  <c r="AG34" i="12" l="1"/>
  <c r="AG40" i="12" l="1"/>
  <c r="AG47" i="12"/>
  <c r="O5" i="9" l="1"/>
  <c r="O4" i="9" s="1"/>
  <c r="O3" i="9"/>
  <c r="O8" i="9" l="1"/>
  <c r="O9" i="9"/>
  <c r="C20" i="9" s="1"/>
  <c r="AG37" i="12"/>
  <c r="J28" i="9"/>
  <c r="I28" i="9" s="1"/>
  <c r="I27" i="9"/>
  <c r="O19" i="9"/>
  <c r="D7" i="9"/>
  <c r="D5" i="9"/>
  <c r="D3" i="9"/>
  <c r="D2" i="9"/>
  <c r="Q12" i="12" l="1"/>
  <c r="AB12" i="12"/>
  <c r="X12" i="12"/>
  <c r="U12" i="12"/>
  <c r="O12" i="12"/>
  <c r="AG12" i="12"/>
  <c r="AF12" i="12"/>
  <c r="W12" i="12"/>
  <c r="Z12" i="12"/>
  <c r="Y12" i="12"/>
  <c r="F12" i="12"/>
  <c r="R12" i="12"/>
  <c r="AC12" i="12"/>
  <c r="AE12" i="12"/>
  <c r="V12" i="12"/>
  <c r="J12" i="12"/>
  <c r="AD12" i="12"/>
  <c r="K12" i="12"/>
  <c r="H12" i="12"/>
  <c r="AA12" i="12"/>
  <c r="D12" i="12"/>
  <c r="E12" i="12"/>
  <c r="I12" i="12"/>
  <c r="L12" i="12"/>
  <c r="M12" i="12"/>
  <c r="G12" i="12"/>
  <c r="T12" i="12"/>
  <c r="S12" i="12"/>
  <c r="P12" i="12"/>
  <c r="N12" i="12"/>
  <c r="P24" i="12"/>
  <c r="O24" i="12"/>
  <c r="K24" i="12"/>
  <c r="J24" i="12"/>
  <c r="I24" i="12"/>
  <c r="R24" i="12"/>
  <c r="AC24" i="12"/>
  <c r="Y24" i="12"/>
  <c r="D24" i="12"/>
  <c r="AE24" i="12"/>
  <c r="M24" i="12"/>
  <c r="H24" i="12"/>
  <c r="AF24" i="12"/>
  <c r="Q24" i="12"/>
  <c r="E24" i="12"/>
  <c r="F24" i="12"/>
  <c r="Z24" i="12"/>
  <c r="AG24" i="12"/>
  <c r="X24" i="12"/>
  <c r="G24" i="12"/>
  <c r="U24" i="12"/>
  <c r="W24" i="12"/>
  <c r="V24" i="12"/>
  <c r="N24" i="12"/>
  <c r="AA24" i="12"/>
  <c r="T24" i="12"/>
  <c r="AB24" i="12"/>
  <c r="AD24" i="12"/>
  <c r="S24" i="12"/>
  <c r="L24" i="12"/>
  <c r="L27" i="12"/>
  <c r="R27" i="12"/>
  <c r="AC27" i="12"/>
  <c r="I27" i="12"/>
  <c r="AB27" i="12"/>
  <c r="P27" i="12"/>
  <c r="K27" i="12"/>
  <c r="G27" i="12"/>
  <c r="AE27" i="12"/>
  <c r="N27" i="12"/>
  <c r="D27" i="12"/>
  <c r="AD27" i="12"/>
  <c r="Y27" i="12"/>
  <c r="V27" i="12"/>
  <c r="AF27" i="12"/>
  <c r="M27" i="12"/>
  <c r="U27" i="12"/>
  <c r="S27" i="12"/>
  <c r="J27" i="12"/>
  <c r="AG27" i="12"/>
  <c r="AA27" i="12"/>
  <c r="H27" i="12"/>
  <c r="Z27" i="12"/>
  <c r="F27" i="12"/>
  <c r="Q27" i="12"/>
  <c r="E27" i="12"/>
  <c r="X27" i="12"/>
  <c r="W27" i="12"/>
  <c r="T27" i="12"/>
  <c r="O27" i="12"/>
  <c r="I4" i="9"/>
  <c r="I2" i="9"/>
  <c r="I3" i="9" s="1"/>
  <c r="D6" i="9"/>
  <c r="I8" i="9" l="1"/>
  <c r="X17" i="12"/>
  <c r="L17" i="12"/>
  <c r="T17" i="12"/>
  <c r="AB17" i="12"/>
  <c r="E17" i="12"/>
  <c r="M17" i="12"/>
  <c r="U17" i="12"/>
  <c r="AC17" i="12"/>
  <c r="F17" i="12"/>
  <c r="N17" i="12"/>
  <c r="V17" i="12"/>
  <c r="AD17" i="12"/>
  <c r="G17" i="12"/>
  <c r="W17" i="12"/>
  <c r="P17" i="12"/>
  <c r="Q17" i="12"/>
  <c r="Y17" i="12"/>
  <c r="J17" i="12"/>
  <c r="R17" i="12"/>
  <c r="Z17" i="12"/>
  <c r="D17" i="12"/>
  <c r="K17" i="12"/>
  <c r="S17" i="12"/>
  <c r="AA17" i="12"/>
  <c r="O17" i="12"/>
  <c r="AE17" i="12"/>
  <c r="H17" i="12"/>
  <c r="AF17" i="12"/>
  <c r="I17" i="12"/>
  <c r="AG17" i="12"/>
  <c r="I6" i="9"/>
  <c r="J21" i="9"/>
  <c r="C15" i="9" l="1"/>
  <c r="C21" i="9"/>
  <c r="C22" i="9" s="1"/>
  <c r="C17" i="9" s="1"/>
  <c r="I5" i="9"/>
  <c r="J5" i="9" s="1"/>
  <c r="C54" i="12"/>
  <c r="J22" i="9"/>
  <c r="C16" i="9" l="1"/>
  <c r="F55" i="12"/>
  <c r="F44" i="12" s="1"/>
  <c r="H55" i="12"/>
  <c r="H44" i="12" s="1"/>
  <c r="J55" i="12"/>
  <c r="J44" i="12" s="1"/>
  <c r="U55" i="12"/>
  <c r="U44" i="12" s="1"/>
  <c r="X55" i="12"/>
  <c r="X44" i="12" s="1"/>
  <c r="AF55" i="12"/>
  <c r="AF44" i="12" s="1"/>
  <c r="K55" i="12"/>
  <c r="K44" i="12" s="1"/>
  <c r="AA55" i="12"/>
  <c r="AA44" i="12" s="1"/>
  <c r="Q55" i="12"/>
  <c r="Q44" i="12" s="1"/>
  <c r="N55" i="12"/>
  <c r="N44" i="12" s="1"/>
  <c r="P55" i="12"/>
  <c r="P44" i="12" s="1"/>
  <c r="R55" i="12"/>
  <c r="R44" i="12" s="1"/>
  <c r="AC55" i="12"/>
  <c r="AC44" i="12" s="1"/>
  <c r="V55" i="12"/>
  <c r="V44" i="12" s="1"/>
  <c r="S55" i="12"/>
  <c r="S44" i="12" s="1"/>
  <c r="Z55" i="12"/>
  <c r="Z44" i="12" s="1"/>
  <c r="L55" i="12"/>
  <c r="L44" i="12" s="1"/>
  <c r="AB55" i="12"/>
  <c r="AB44" i="12" s="1"/>
  <c r="Y55" i="12"/>
  <c r="Y44" i="12" s="1"/>
  <c r="AE55" i="12"/>
  <c r="AE44" i="12" s="1"/>
  <c r="D55" i="12"/>
  <c r="D44" i="12" s="1"/>
  <c r="M55" i="12"/>
  <c r="M44" i="12" s="1"/>
  <c r="AD55" i="12"/>
  <c r="AD44" i="12" s="1"/>
  <c r="G55" i="12"/>
  <c r="G44" i="12" s="1"/>
  <c r="I55" i="12"/>
  <c r="I44" i="12" s="1"/>
  <c r="T55" i="12"/>
  <c r="T44" i="12" s="1"/>
  <c r="O55" i="12"/>
  <c r="O44" i="12" s="1"/>
  <c r="AG55" i="12"/>
  <c r="AG44" i="12" s="1"/>
  <c r="W55" i="12"/>
  <c r="W44" i="12" s="1"/>
  <c r="E55" i="12"/>
  <c r="E44" i="12" s="1"/>
  <c r="C56" i="12"/>
  <c r="D18" i="12" s="1"/>
  <c r="D8" i="12" s="1"/>
  <c r="C72" i="12" l="1"/>
  <c r="C60" i="12"/>
  <c r="C62" i="12" s="1"/>
  <c r="D59" i="12" s="1"/>
  <c r="D6" i="12"/>
  <c r="D7" i="12"/>
  <c r="D53" i="12"/>
  <c r="D19" i="12" s="1"/>
  <c r="C65" i="12" l="1"/>
  <c r="C49" i="12" s="1"/>
  <c r="D20" i="12"/>
  <c r="D29" i="12" s="1"/>
  <c r="D39" i="12" s="1"/>
  <c r="D41" i="12" s="1"/>
  <c r="D56" i="12"/>
  <c r="E18" i="12" s="1"/>
  <c r="E8" i="12" s="1"/>
  <c r="D68" i="12" l="1"/>
  <c r="E7" i="12"/>
  <c r="E6" i="12"/>
  <c r="E53" i="12"/>
  <c r="E19" i="12" s="1"/>
  <c r="D45" i="12"/>
  <c r="D69" i="12" l="1"/>
  <c r="D46" i="12" s="1"/>
  <c r="E20" i="12"/>
  <c r="E56" i="12"/>
  <c r="F18" i="12" s="1"/>
  <c r="F8" i="12" s="1"/>
  <c r="D61" i="12"/>
  <c r="D62" i="12" s="1"/>
  <c r="E59" i="12" s="1"/>
  <c r="F7" i="12" l="1"/>
  <c r="F6" i="12"/>
  <c r="F53" i="12"/>
  <c r="F19" i="12" s="1"/>
  <c r="E68" i="12"/>
  <c r="D72" i="12"/>
  <c r="F20" i="12" l="1"/>
  <c r="F56" i="12"/>
  <c r="G18" i="12" s="1"/>
  <c r="G8" i="12" s="1"/>
  <c r="D49" i="12"/>
  <c r="G6" i="12" l="1"/>
  <c r="G7" i="12"/>
  <c r="G53" i="12"/>
  <c r="G19" i="12" s="1"/>
  <c r="F68" i="12"/>
  <c r="G20" i="12" l="1"/>
  <c r="G56" i="12"/>
  <c r="H18" i="12" s="1"/>
  <c r="H8" i="12" s="1"/>
  <c r="H7" i="12" l="1"/>
  <c r="H6" i="12"/>
  <c r="H53" i="12"/>
  <c r="H19" i="12" s="1"/>
  <c r="G68" i="12"/>
  <c r="H20" i="12" l="1"/>
  <c r="H56" i="12"/>
  <c r="I18" i="12" s="1"/>
  <c r="I8" i="12" s="1"/>
  <c r="I6" i="12" l="1"/>
  <c r="I7" i="12"/>
  <c r="I53" i="12"/>
  <c r="I19" i="12" s="1"/>
  <c r="H68" i="12"/>
  <c r="I20" i="12" l="1"/>
  <c r="I56" i="12"/>
  <c r="J18" i="12" s="1"/>
  <c r="J8" i="12" s="1"/>
  <c r="J6" i="12" l="1"/>
  <c r="J7" i="12"/>
  <c r="J53" i="12"/>
  <c r="J19" i="12" s="1"/>
  <c r="I68" i="12"/>
  <c r="J20" i="12" l="1"/>
  <c r="J56" i="12"/>
  <c r="K18" i="12" s="1"/>
  <c r="K8" i="12" s="1"/>
  <c r="K7" i="12" l="1"/>
  <c r="K6" i="12"/>
  <c r="K53" i="12"/>
  <c r="K19" i="12" s="1"/>
  <c r="J68" i="12"/>
  <c r="K20" i="12" l="1"/>
  <c r="K56" i="12"/>
  <c r="L18" i="12" s="1"/>
  <c r="L8" i="12" s="1"/>
  <c r="L7" i="12" l="1"/>
  <c r="L6" i="12"/>
  <c r="L53" i="12"/>
  <c r="L19" i="12" s="1"/>
  <c r="K68" i="12"/>
  <c r="L20" i="12" l="1"/>
  <c r="L56" i="12"/>
  <c r="M18" i="12" s="1"/>
  <c r="M8" i="12" s="1"/>
  <c r="M7" i="12" l="1"/>
  <c r="M6" i="12"/>
  <c r="M53" i="12"/>
  <c r="M19" i="12" s="1"/>
  <c r="L68" i="12"/>
  <c r="M20" i="12" l="1"/>
  <c r="M56" i="12"/>
  <c r="N18" i="12" s="1"/>
  <c r="N8" i="12" s="1"/>
  <c r="N6" i="12" l="1"/>
  <c r="N7" i="12"/>
  <c r="N53" i="12"/>
  <c r="N19" i="12" s="1"/>
  <c r="M68" i="12"/>
  <c r="N20" i="12" l="1"/>
  <c r="N56" i="12"/>
  <c r="O18" i="12" s="1"/>
  <c r="O8" i="12" s="1"/>
  <c r="O6" i="12" l="1"/>
  <c r="O7" i="12"/>
  <c r="O53" i="12"/>
  <c r="O19" i="12" s="1"/>
  <c r="N68" i="12"/>
  <c r="O20" i="12" l="1"/>
  <c r="O56" i="12"/>
  <c r="P18" i="12" s="1"/>
  <c r="P8" i="12" s="1"/>
  <c r="P6" i="12" l="1"/>
  <c r="P7" i="12"/>
  <c r="P53" i="12"/>
  <c r="P19" i="12" s="1"/>
  <c r="O68" i="12"/>
  <c r="P20" i="12" l="1"/>
  <c r="P56" i="12"/>
  <c r="Q18" i="12" s="1"/>
  <c r="Q8" i="12" s="1"/>
  <c r="Q7" i="12" l="1"/>
  <c r="Q6" i="12"/>
  <c r="Q53" i="12"/>
  <c r="Q19" i="12" s="1"/>
  <c r="P68" i="12"/>
  <c r="Q20" i="12" l="1"/>
  <c r="Q56" i="12"/>
  <c r="R18" i="12" s="1"/>
  <c r="R53" i="12" l="1"/>
  <c r="R19" i="12" s="1"/>
  <c r="Q68" i="12"/>
  <c r="R56" i="12" l="1"/>
  <c r="S18" i="12" s="1"/>
  <c r="S53" i="12" l="1"/>
  <c r="S19" i="12" s="1"/>
  <c r="R68" i="12"/>
  <c r="S56" i="12" l="1"/>
  <c r="T18" i="12" s="1"/>
  <c r="T53" i="12" l="1"/>
  <c r="T19" i="12" s="1"/>
  <c r="S68" i="12"/>
  <c r="T56" i="12" l="1"/>
  <c r="U18" i="12" s="1"/>
  <c r="U53" i="12" l="1"/>
  <c r="U19" i="12" s="1"/>
  <c r="T68" i="12"/>
  <c r="U56" i="12" l="1"/>
  <c r="V18" i="12" s="1"/>
  <c r="V53" i="12" l="1"/>
  <c r="V19" i="12" s="1"/>
  <c r="U68" i="12"/>
  <c r="V56" i="12" l="1"/>
  <c r="W18" i="12" s="1"/>
  <c r="W53" i="12" l="1"/>
  <c r="W19" i="12" s="1"/>
  <c r="V68" i="12"/>
  <c r="W56" i="12" l="1"/>
  <c r="X18" i="12" s="1"/>
  <c r="X53" i="12" l="1"/>
  <c r="X19" i="12" s="1"/>
  <c r="W68" i="12"/>
  <c r="X56" i="12" l="1"/>
  <c r="Y18" i="12" s="1"/>
  <c r="Y53" i="12" l="1"/>
  <c r="Y19" i="12" s="1"/>
  <c r="X68" i="12"/>
  <c r="Y56" i="12" l="1"/>
  <c r="Z18" i="12" s="1"/>
  <c r="Z53" i="12" l="1"/>
  <c r="Z19" i="12" s="1"/>
  <c r="Y68" i="12"/>
  <c r="Z56" i="12" l="1"/>
  <c r="AA18" i="12" s="1"/>
  <c r="AA53" i="12" l="1"/>
  <c r="AA19" i="12" s="1"/>
  <c r="Z68" i="12"/>
  <c r="AA56" i="12" l="1"/>
  <c r="AB18" i="12" s="1"/>
  <c r="AB53" i="12" l="1"/>
  <c r="AB19" i="12" s="1"/>
  <c r="AA68" i="12"/>
  <c r="AB56" i="12" l="1"/>
  <c r="AC18" i="12" s="1"/>
  <c r="AC53" i="12" l="1"/>
  <c r="AC19" i="12" s="1"/>
  <c r="AB68" i="12"/>
  <c r="AC56" i="12" l="1"/>
  <c r="AD18" i="12" s="1"/>
  <c r="AD53" i="12" l="1"/>
  <c r="AD19" i="12" s="1"/>
  <c r="AC68" i="12"/>
  <c r="AD56" i="12" l="1"/>
  <c r="AE18" i="12" s="1"/>
  <c r="AE53" i="12" l="1"/>
  <c r="AE19" i="12" s="1"/>
  <c r="AD68" i="12"/>
  <c r="AE56" i="12" l="1"/>
  <c r="AF18" i="12" s="1"/>
  <c r="AF53" i="12" l="1"/>
  <c r="AF19" i="12" s="1"/>
  <c r="AE68" i="12"/>
  <c r="AF56" i="12" l="1"/>
  <c r="AG18" i="12" s="1"/>
  <c r="AG53" i="12" l="1"/>
  <c r="AG19" i="12" s="1"/>
  <c r="AF68" i="12"/>
  <c r="AG56" i="12" l="1"/>
  <c r="AG68" i="12" s="1"/>
  <c r="E61" i="12"/>
  <c r="E62" i="12" s="1"/>
  <c r="F59" i="12" s="1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F62" i="12" l="1"/>
  <c r="G59" i="12" s="1"/>
  <c r="G62" i="12" s="1"/>
  <c r="H59" i="12" s="1"/>
  <c r="H62" i="12" s="1"/>
  <c r="I59" i="12" s="1"/>
  <c r="I62" i="12" s="1"/>
  <c r="J59" i="12" s="1"/>
  <c r="J62" i="12" s="1"/>
  <c r="K59" i="12" s="1"/>
  <c r="K62" i="12" s="1"/>
  <c r="L59" i="12" s="1"/>
  <c r="L62" i="12" s="1"/>
  <c r="M59" i="12" s="1"/>
  <c r="M62" i="12" s="1"/>
  <c r="N59" i="12" s="1"/>
  <c r="N62" i="12" s="1"/>
  <c r="O59" i="12" s="1"/>
  <c r="O62" i="12" s="1"/>
  <c r="P59" i="12" s="1"/>
  <c r="P62" i="12" s="1"/>
  <c r="Q59" i="12" s="1"/>
  <c r="Q62" i="12" s="1"/>
  <c r="R59" i="12" s="1"/>
  <c r="R62" i="12" s="1"/>
  <c r="S59" i="12" s="1"/>
  <c r="S62" i="12" s="1"/>
  <c r="T59" i="12" s="1"/>
  <c r="T62" i="12" s="1"/>
  <c r="U59" i="12" s="1"/>
  <c r="U62" i="12" s="1"/>
  <c r="V59" i="12" s="1"/>
  <c r="V62" i="12" s="1"/>
  <c r="W59" i="12" s="1"/>
  <c r="W62" i="12" s="1"/>
  <c r="X59" i="12" s="1"/>
  <c r="X62" i="12" s="1"/>
  <c r="Y59" i="12" s="1"/>
  <c r="Y62" i="12" s="1"/>
  <c r="Z59" i="12" s="1"/>
  <c r="Z62" i="12" s="1"/>
  <c r="AA59" i="12" s="1"/>
  <c r="AA62" i="12" s="1"/>
  <c r="AB59" i="12" s="1"/>
  <c r="AB62" i="12" s="1"/>
  <c r="AC59" i="12" s="1"/>
  <c r="AC62" i="12" s="1"/>
  <c r="AD59" i="12" s="1"/>
  <c r="AD62" i="12" s="1"/>
  <c r="AE59" i="12" s="1"/>
  <c r="AE62" i="12" s="1"/>
  <c r="AF59" i="12" s="1"/>
  <c r="AF62" i="12" s="1"/>
  <c r="AG59" i="12" s="1"/>
  <c r="AG62" i="12" s="1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C71" i="12"/>
  <c r="E72" i="12"/>
  <c r="F72" i="12"/>
  <c r="G72" i="12"/>
  <c r="H72" i="12"/>
  <c r="I72" i="12"/>
  <c r="J72" i="12"/>
  <c r="K72" i="12"/>
  <c r="L72" i="12"/>
  <c r="M72" i="12"/>
  <c r="N72" i="12"/>
  <c r="O72" i="12"/>
  <c r="P72" i="12"/>
  <c r="Q72" i="12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</calcChain>
</file>

<file path=xl/comments1.xml><?xml version="1.0" encoding="utf-8"?>
<comments xmlns="http://schemas.openxmlformats.org/spreadsheetml/2006/main">
  <authors>
    <author>user</author>
  </authors>
  <commentList>
    <comment ref="B1" authorId="0" shapeId="0">
      <text>
        <r>
          <rPr>
            <b/>
            <sz val="9"/>
            <color indexed="81"/>
            <rFont val="돋움"/>
            <family val="3"/>
            <charset val="129"/>
          </rPr>
          <t>건축개요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별도제출</t>
        </r>
      </text>
    </comment>
    <comment ref="P5" authorId="0" shapeId="0">
      <text>
        <r>
          <rPr>
            <b/>
            <sz val="9"/>
            <color indexed="81"/>
            <rFont val="돋움"/>
            <family val="3"/>
            <charset val="129"/>
          </rPr>
          <t>설치면적 별도제출</t>
        </r>
      </text>
    </comment>
    <comment ref="P6" authorId="0" shapeId="0">
      <text>
        <r>
          <rPr>
            <b/>
            <sz val="9"/>
            <color indexed="81"/>
            <rFont val="돋움"/>
            <family val="3"/>
            <charset val="129"/>
          </rPr>
          <t>시설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별도제출</t>
        </r>
      </text>
    </comment>
    <comment ref="P7" authorId="0" shapeId="0">
      <text>
        <r>
          <rPr>
            <b/>
            <sz val="9"/>
            <color indexed="81"/>
            <rFont val="돋움"/>
            <family val="3"/>
            <charset val="129"/>
          </rPr>
          <t>설비내역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별도제시</t>
        </r>
      </text>
    </comment>
    <comment ref="P9" authorId="0" shapeId="0">
      <text>
        <r>
          <rPr>
            <b/>
            <sz val="9"/>
            <color indexed="81"/>
            <rFont val="돋움"/>
            <family val="3"/>
            <charset val="129"/>
          </rPr>
          <t>실투입비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별도제출</t>
        </r>
      </text>
    </comment>
    <comment ref="C16" authorId="0" shapeId="0">
      <text>
        <r>
          <rPr>
            <b/>
            <sz val="9"/>
            <color indexed="81"/>
            <rFont val="돋움"/>
            <family val="3"/>
            <charset val="129"/>
          </rPr>
          <t>조달계획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별도제출</t>
        </r>
      </text>
    </comment>
    <comment ref="I16" authorId="0" shapeId="0">
      <text>
        <r>
          <rPr>
            <b/>
            <sz val="9"/>
            <color indexed="81"/>
            <rFont val="돋움"/>
            <family val="3"/>
            <charset val="129"/>
          </rPr>
          <t>탁상감정평가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의함</t>
        </r>
      </text>
    </comment>
  </commentList>
</comments>
</file>

<file path=xl/comments2.xml><?xml version="1.0" encoding="utf-8"?>
<comments xmlns="http://schemas.openxmlformats.org/spreadsheetml/2006/main">
  <authors>
    <author>user</author>
    <author>SH</author>
  </authors>
  <commentList>
    <comment ref="BG3" authorId="0" shapeId="0">
      <text>
        <r>
          <rPr>
            <b/>
            <sz val="9"/>
            <color indexed="81"/>
            <rFont val="돋움"/>
            <family val="3"/>
            <charset val="129"/>
          </rPr>
          <t>감면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토지비율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</text>
    </comment>
    <comment ref="BH3" authorId="0" shapeId="0">
      <text>
        <r>
          <rPr>
            <b/>
            <sz val="9"/>
            <color indexed="81"/>
            <rFont val="돋움"/>
            <family val="3"/>
            <charset val="129"/>
          </rPr>
          <t>감면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건물비용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</text>
    </comment>
    <comment ref="BJ18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지방세특례제한법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31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임대주택등에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
③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임대사업자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건축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매입하거나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매입하여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과세기준일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재산세를</t>
        </r>
        <r>
          <rPr>
            <b/>
            <sz val="9"/>
            <color indexed="81"/>
            <rFont val="Tahoma"/>
            <family val="2"/>
          </rPr>
          <t xml:space="preserve"> 2018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31</t>
        </r>
        <r>
          <rPr>
            <b/>
            <sz val="9"/>
            <color indexed="81"/>
            <rFont val="돋움"/>
            <family val="3"/>
            <charset val="129"/>
          </rPr>
          <t>일까지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40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「공공주택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특별법」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2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60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50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경감하고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3.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85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25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BM19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지방세법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도시지역분
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지방자치단체의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「국토의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법률」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지방의회의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의결을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조에서</t>
        </r>
        <r>
          <rPr>
            <b/>
            <sz val="9"/>
            <color indexed="81"/>
            <rFont val="Tahoma"/>
            <family val="2"/>
          </rPr>
          <t xml:space="preserve"> “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적용대상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돋움"/>
            <family val="3"/>
            <charset val="129"/>
          </rPr>
          <t>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한다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건축물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주택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조에서</t>
        </r>
        <r>
          <rPr>
            <b/>
            <sz val="9"/>
            <color indexed="81"/>
            <rFont val="Tahoma"/>
            <family val="2"/>
          </rPr>
          <t xml:space="preserve"> “</t>
        </r>
        <r>
          <rPr>
            <b/>
            <sz val="9"/>
            <color indexed="81"/>
            <rFont val="돋움"/>
            <family val="3"/>
            <charset val="129"/>
          </rPr>
          <t>토지등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돋움"/>
            <family val="3"/>
            <charset val="129"/>
          </rPr>
          <t>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대하여는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재산세액으로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있다</t>
        </r>
        <r>
          <rPr>
            <b/>
            <sz val="9"/>
            <color indexed="81"/>
            <rFont val="Tahoma"/>
            <family val="2"/>
          </rPr>
          <t xml:space="preserve">.(2013.01.01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과세표준에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111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세율을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  <r>
          <rPr>
            <b/>
            <sz val="9"/>
            <color indexed="81"/>
            <rFont val="Tahoma"/>
            <family val="2"/>
          </rPr>
          <t xml:space="preserve">(2010.03.31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과세표준에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천분의</t>
        </r>
        <r>
          <rPr>
            <b/>
            <sz val="9"/>
            <color indexed="81"/>
            <rFont val="Tahoma"/>
            <family val="2"/>
          </rPr>
          <t xml:space="preserve"> 1.4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  <r>
          <rPr>
            <b/>
            <sz val="9"/>
            <color indexed="81"/>
            <rFont val="Tahoma"/>
            <family val="2"/>
          </rPr>
          <t xml:space="preserve">(2010.12.27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BO19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지방세특례제한법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31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임대주택등에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
③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임대사업자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건축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매입하거나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매입하여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과세기준일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재산세를</t>
        </r>
        <r>
          <rPr>
            <b/>
            <sz val="9"/>
            <color indexed="81"/>
            <rFont val="Tahoma"/>
            <family val="2"/>
          </rPr>
          <t xml:space="preserve"> 2018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31</t>
        </r>
        <r>
          <rPr>
            <b/>
            <sz val="9"/>
            <color indexed="81"/>
            <rFont val="돋움"/>
            <family val="3"/>
            <charset val="129"/>
          </rPr>
          <t>일까지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40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「공공주택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특별법」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2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60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50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경감하고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3.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85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25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5~10</t>
        </r>
        <r>
          <rPr>
            <b/>
            <sz val="9"/>
            <color indexed="81"/>
            <rFont val="돋움"/>
            <family val="3"/>
            <charset val="129"/>
          </rPr>
          <t>층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상가</t>
        </r>
        <r>
          <rPr>
            <b/>
            <sz val="9"/>
            <color indexed="81"/>
            <rFont val="Tahoma"/>
            <family val="2"/>
          </rPr>
          <t xml:space="preserve"> 30% </t>
        </r>
        <r>
          <rPr>
            <b/>
            <sz val="9"/>
            <color indexed="81"/>
            <rFont val="돋움"/>
            <family val="3"/>
            <charset val="129"/>
          </rPr>
          <t xml:space="preserve">가산
</t>
        </r>
      </text>
    </comment>
    <comment ref="BJ25" authorId="0" shapeId="0">
      <text>
        <r>
          <rPr>
            <b/>
            <sz val="9"/>
            <color indexed="81"/>
            <rFont val="돋움"/>
            <family val="3"/>
            <charset val="129"/>
          </rPr>
          <t>지방세특례제한법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31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임대주택등에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
③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임대사업자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건축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매입하거나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매입하여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과세기준일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재산세를</t>
        </r>
        <r>
          <rPr>
            <b/>
            <sz val="9"/>
            <color indexed="81"/>
            <rFont val="Tahoma"/>
            <family val="2"/>
          </rPr>
          <t xml:space="preserve"> 2018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31</t>
        </r>
        <r>
          <rPr>
            <b/>
            <sz val="9"/>
            <color indexed="81"/>
            <rFont val="돋움"/>
            <family val="3"/>
            <charset val="129"/>
          </rPr>
          <t>일까지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40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「공공주택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특별법」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2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60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50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경감하고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3.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85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25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BJ32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지방세특례제한법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31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임대주택등에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
③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임대사업자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건축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매입하거나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매입하여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과세기준일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재산세를</t>
        </r>
        <r>
          <rPr>
            <b/>
            <sz val="9"/>
            <color indexed="81"/>
            <rFont val="Tahoma"/>
            <family val="2"/>
          </rPr>
          <t xml:space="preserve"> 2018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12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 31</t>
        </r>
        <r>
          <rPr>
            <b/>
            <sz val="9"/>
            <color indexed="81"/>
            <rFont val="돋움"/>
            <family val="3"/>
            <charset val="129"/>
          </rPr>
          <t>일까지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감면한다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40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「공공주택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특별법」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2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각각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60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50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경감하고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「지방세법」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146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항에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지역자원시설세를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면제한다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3. </t>
        </r>
        <r>
          <rPr>
            <b/>
            <sz val="9"/>
            <color indexed="81"/>
            <rFont val="돋움"/>
            <family val="3"/>
            <charset val="129"/>
          </rPr>
          <t>전용면적</t>
        </r>
        <r>
          <rPr>
            <b/>
            <sz val="9"/>
            <color indexed="81"/>
            <rFont val="Tahoma"/>
            <family val="2"/>
          </rPr>
          <t xml:space="preserve"> 85</t>
        </r>
        <r>
          <rPr>
            <b/>
            <sz val="9"/>
            <color indexed="81"/>
            <rFont val="돋움"/>
            <family val="3"/>
            <charset val="129"/>
          </rPr>
          <t>제곱미터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이하인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임대목적의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공동주택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오피스텔에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대해서는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재산세의</t>
        </r>
        <r>
          <rPr>
            <b/>
            <sz val="9"/>
            <color indexed="81"/>
            <rFont val="Tahoma"/>
            <family val="2"/>
          </rPr>
          <t xml:space="preserve"> 100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25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경감한다</t>
        </r>
        <r>
          <rPr>
            <b/>
            <sz val="9"/>
            <color indexed="81"/>
            <rFont val="Tahoma"/>
            <family val="2"/>
          </rPr>
          <t xml:space="preserve">.(2015.12.29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  <comment ref="BM33" authorId="1" shapeId="0">
      <text>
        <r>
          <rPr>
            <b/>
            <sz val="9"/>
            <color indexed="81"/>
            <rFont val="돋움"/>
            <family val="3"/>
            <charset val="129"/>
          </rPr>
          <t>지방세법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112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도시지역분
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지방자치단체의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「국토의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법률」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6</t>
        </r>
        <r>
          <rPr>
            <b/>
            <sz val="9"/>
            <color indexed="81"/>
            <rFont val="돋움"/>
            <family val="3"/>
            <charset val="129"/>
          </rPr>
          <t>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지방의회의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의결을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조에서</t>
        </r>
        <r>
          <rPr>
            <b/>
            <sz val="9"/>
            <color indexed="81"/>
            <rFont val="Tahoma"/>
            <family val="2"/>
          </rPr>
          <t xml:space="preserve"> “</t>
        </r>
        <r>
          <rPr>
            <b/>
            <sz val="9"/>
            <color indexed="81"/>
            <rFont val="돋움"/>
            <family val="3"/>
            <charset val="129"/>
          </rPr>
          <t>재산세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도시지역분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적용대상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돋움"/>
            <family val="3"/>
            <charset val="129"/>
          </rPr>
          <t>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한다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대통령령으로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건축물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주택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이하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조에서</t>
        </r>
        <r>
          <rPr>
            <b/>
            <sz val="9"/>
            <color indexed="81"/>
            <rFont val="Tahoma"/>
            <family val="2"/>
          </rPr>
          <t xml:space="preserve"> “</t>
        </r>
        <r>
          <rPr>
            <b/>
            <sz val="9"/>
            <color indexed="81"/>
            <rFont val="돋움"/>
            <family val="3"/>
            <charset val="129"/>
          </rPr>
          <t>토지등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돋움"/>
            <family val="3"/>
            <charset val="129"/>
          </rPr>
          <t>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한다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대하여는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재산세액으로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부과할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있다</t>
        </r>
        <r>
          <rPr>
            <b/>
            <sz val="9"/>
            <color indexed="81"/>
            <rFont val="Tahoma"/>
            <family val="2"/>
          </rPr>
          <t xml:space="preserve">.(2013.01.01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1.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과세표준에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111</t>
        </r>
        <r>
          <rPr>
            <b/>
            <sz val="9"/>
            <color indexed="81"/>
            <rFont val="돋움"/>
            <family val="3"/>
            <charset val="129"/>
          </rPr>
          <t>조의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세율을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  <r>
          <rPr>
            <b/>
            <sz val="9"/>
            <color indexed="81"/>
            <rFont val="Tahoma"/>
            <family val="2"/>
          </rPr>
          <t xml:space="preserve">(2010.03.31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
2.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돋움"/>
            <family val="3"/>
            <charset val="129"/>
          </rPr>
          <t>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토지등의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과세표준에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천분의</t>
        </r>
        <r>
          <rPr>
            <b/>
            <sz val="9"/>
            <color indexed="81"/>
            <rFont val="Tahoma"/>
            <family val="2"/>
          </rPr>
          <t xml:space="preserve"> 1.4</t>
        </r>
        <r>
          <rPr>
            <b/>
            <sz val="9"/>
            <color indexed="81"/>
            <rFont val="돋움"/>
            <family val="3"/>
            <charset val="129"/>
          </rPr>
          <t>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세액</t>
        </r>
        <r>
          <rPr>
            <b/>
            <sz val="9"/>
            <color indexed="81"/>
            <rFont val="Tahoma"/>
            <family val="2"/>
          </rPr>
          <t xml:space="preserve">(2010.12.27 </t>
        </r>
        <r>
          <rPr>
            <b/>
            <sz val="9"/>
            <color indexed="81"/>
            <rFont val="돋움"/>
            <family val="3"/>
            <charset val="129"/>
          </rPr>
          <t>개정</t>
        </r>
        <r>
          <rPr>
            <b/>
            <sz val="9"/>
            <color indexed="81"/>
            <rFont val="Tahoma"/>
            <family val="2"/>
          </rPr>
          <t xml:space="preserve">) </t>
        </r>
      </text>
    </comment>
  </commentList>
</comments>
</file>

<file path=xl/sharedStrings.xml><?xml version="1.0" encoding="utf-8"?>
<sst xmlns="http://schemas.openxmlformats.org/spreadsheetml/2006/main" count="300" uniqueCount="207">
  <si>
    <t>토지면적</t>
    <phoneticPr fontId="2" type="noConversion"/>
  </si>
  <si>
    <t>연면적</t>
    <phoneticPr fontId="2" type="noConversion"/>
  </si>
  <si>
    <t>용적률</t>
    <phoneticPr fontId="2" type="noConversion"/>
  </si>
  <si>
    <t>PF대출</t>
    <phoneticPr fontId="2" type="noConversion"/>
  </si>
  <si>
    <t>소요재원</t>
    <phoneticPr fontId="2" type="noConversion"/>
  </si>
  <si>
    <t>보증금</t>
    <phoneticPr fontId="2" type="noConversion"/>
  </si>
  <si>
    <t>토지임대료</t>
    <phoneticPr fontId="2" type="noConversion"/>
  </si>
  <si>
    <t>기초</t>
    <phoneticPr fontId="2" type="noConversion"/>
  </si>
  <si>
    <t>기말</t>
    <phoneticPr fontId="2" type="noConversion"/>
  </si>
  <si>
    <t>당기증가</t>
    <phoneticPr fontId="2" type="noConversion"/>
  </si>
  <si>
    <t>주택임대수익</t>
    <phoneticPr fontId="2" type="noConversion"/>
  </si>
  <si>
    <t>상가임대수익</t>
    <phoneticPr fontId="2" type="noConversion"/>
  </si>
  <si>
    <t>이자수익</t>
    <phoneticPr fontId="2" type="noConversion"/>
  </si>
  <si>
    <t>PF이자</t>
    <phoneticPr fontId="2" type="noConversion"/>
  </si>
  <si>
    <t>수선유지비</t>
    <phoneticPr fontId="2" type="noConversion"/>
  </si>
  <si>
    <t>보험료</t>
    <phoneticPr fontId="2" type="noConversion"/>
  </si>
  <si>
    <t>재산세</t>
    <phoneticPr fontId="2" type="noConversion"/>
  </si>
  <si>
    <t>관리비</t>
    <phoneticPr fontId="2" type="noConversion"/>
  </si>
  <si>
    <t>인상기수</t>
    <phoneticPr fontId="2" type="noConversion"/>
  </si>
  <si>
    <t>수선비</t>
    <phoneticPr fontId="2" type="noConversion"/>
  </si>
  <si>
    <t>Inflation</t>
    <phoneticPr fontId="2" type="noConversion"/>
  </si>
  <si>
    <t>운영현금</t>
    <phoneticPr fontId="2" type="noConversion"/>
  </si>
  <si>
    <t>당기 CF</t>
    <phoneticPr fontId="2" type="noConversion"/>
  </si>
  <si>
    <t>누적 CF</t>
    <phoneticPr fontId="2" type="noConversion"/>
  </si>
  <si>
    <t>취득세</t>
    <phoneticPr fontId="2" type="noConversion"/>
  </si>
  <si>
    <t>자본항목</t>
    <phoneticPr fontId="2" type="noConversion"/>
  </si>
  <si>
    <t>운영항목</t>
    <phoneticPr fontId="2" type="noConversion"/>
  </si>
  <si>
    <t>사업자 IRR</t>
    <phoneticPr fontId="2" type="noConversion"/>
  </si>
  <si>
    <t>사업자 CF</t>
    <phoneticPr fontId="2" type="noConversion"/>
  </si>
  <si>
    <t>세대수</t>
    <phoneticPr fontId="2" type="noConversion"/>
  </si>
  <si>
    <t>규모</t>
    <phoneticPr fontId="2" type="noConversion"/>
  </si>
  <si>
    <t>운영기간</t>
    <phoneticPr fontId="2" type="noConversion"/>
  </si>
  <si>
    <t>전세시세</t>
    <phoneticPr fontId="2" type="noConversion"/>
  </si>
  <si>
    <t>보증금 비율</t>
    <phoneticPr fontId="2" type="noConversion"/>
  </si>
  <si>
    <t>최초보증금</t>
    <phoneticPr fontId="2" type="noConversion"/>
  </si>
  <si>
    <t>전월세 전환율</t>
    <phoneticPr fontId="2" type="noConversion"/>
  </si>
  <si>
    <t>적용 전세금</t>
    <phoneticPr fontId="2" type="noConversion"/>
  </si>
  <si>
    <t>최초 임대료</t>
    <phoneticPr fontId="2" type="noConversion"/>
  </si>
  <si>
    <t>공실률</t>
    <phoneticPr fontId="2" type="noConversion"/>
  </si>
  <si>
    <t>임대료</t>
    <phoneticPr fontId="2" type="noConversion"/>
  </si>
  <si>
    <t>■</t>
    <phoneticPr fontId="2" type="noConversion"/>
  </si>
  <si>
    <t>토지변수</t>
    <phoneticPr fontId="2" type="noConversion"/>
  </si>
  <si>
    <t>건설변수</t>
    <phoneticPr fontId="2" type="noConversion"/>
  </si>
  <si>
    <t>재원조달</t>
    <phoneticPr fontId="2" type="noConversion"/>
  </si>
  <si>
    <t>재산세</t>
  </si>
  <si>
    <t>유형</t>
    <phoneticPr fontId="2" type="noConversion"/>
  </si>
  <si>
    <t>호수</t>
    <phoneticPr fontId="2" type="noConversion"/>
  </si>
  <si>
    <t>동호</t>
    <phoneticPr fontId="2" type="noConversion"/>
  </si>
  <si>
    <t>전용</t>
    <phoneticPr fontId="2" type="noConversion"/>
  </si>
  <si>
    <t>적용전세</t>
    <phoneticPr fontId="2" type="noConversion"/>
  </si>
  <si>
    <t>최초임대료</t>
    <phoneticPr fontId="2" type="noConversion"/>
  </si>
  <si>
    <t>매매시세</t>
    <phoneticPr fontId="2" type="noConversion"/>
  </si>
  <si>
    <t>시세반영율</t>
    <phoneticPr fontId="2" type="noConversion"/>
  </si>
  <si>
    <t>공정가액비율</t>
    <phoneticPr fontId="2" type="noConversion"/>
  </si>
  <si>
    <t>과세표준</t>
  </si>
  <si>
    <t>과세표준</t>
    <phoneticPr fontId="2" type="noConversion"/>
  </si>
  <si>
    <t>■ 재산세 세율적용</t>
    <phoneticPr fontId="2" type="noConversion"/>
  </si>
  <si>
    <t>초과</t>
  </si>
  <si>
    <t>이하</t>
  </si>
  <si>
    <t>누진세율</t>
  </si>
  <si>
    <t>누진공제</t>
  </si>
  <si>
    <t>세율차</t>
  </si>
  <si>
    <t>단계공제</t>
  </si>
  <si>
    <t>적용세율</t>
  </si>
  <si>
    <t>적용세율</t>
    <phoneticPr fontId="2" type="noConversion"/>
  </si>
  <si>
    <t>누진공제</t>
    <phoneticPr fontId="2" type="noConversion"/>
  </si>
  <si>
    <t>산출세액</t>
  </si>
  <si>
    <t>산출세액</t>
    <phoneticPr fontId="2" type="noConversion"/>
  </si>
  <si>
    <t>감면율</t>
  </si>
  <si>
    <t>감면율</t>
    <phoneticPr fontId="2" type="noConversion"/>
  </si>
  <si>
    <t>■ 지역자원시설세 구간</t>
  </si>
  <si>
    <t>■ 지특법 31조(공동주택 신축+매입, 오피스텔 매입)</t>
    <phoneticPr fontId="2" type="noConversion"/>
  </si>
  <si>
    <t>도시지역분</t>
    <phoneticPr fontId="2" type="noConversion"/>
  </si>
  <si>
    <t>지역자원시설</t>
  </si>
  <si>
    <t>비고</t>
    <phoneticPr fontId="2" type="noConversion"/>
  </si>
  <si>
    <t>2세대 이상</t>
    <phoneticPr fontId="2" type="noConversion"/>
  </si>
  <si>
    <t>■ 지특법 31조의 3(공동주택 신축+매입, 오피스텔 매입)</t>
    <phoneticPr fontId="2" type="noConversion"/>
  </si>
  <si>
    <t>8년이상, 2세대 이상</t>
    <phoneticPr fontId="2" type="noConversion"/>
  </si>
  <si>
    <t>■ 지특법 31조의 4(공동주택 신축+매입, 오피스텔 신축+매입)</t>
    <phoneticPr fontId="2" type="noConversion"/>
  </si>
  <si>
    <t>공공 50% 초과출자 리츠</t>
    <phoneticPr fontId="2" type="noConversion"/>
  </si>
  <si>
    <t>31조</t>
    <phoneticPr fontId="2" type="noConversion"/>
  </si>
  <si>
    <t>공공 30년 이상</t>
    <phoneticPr fontId="2" type="noConversion"/>
  </si>
  <si>
    <t>감면액</t>
  </si>
  <si>
    <t>감면액</t>
    <phoneticPr fontId="2" type="noConversion"/>
  </si>
  <si>
    <t>납부세액</t>
  </si>
  <si>
    <t>납부세액</t>
    <phoneticPr fontId="2" type="noConversion"/>
  </si>
  <si>
    <t>시가표준액</t>
  </si>
  <si>
    <t>지하주차장비율</t>
  </si>
  <si>
    <t>기타비율</t>
  </si>
  <si>
    <t>대지지분</t>
    <phoneticPr fontId="2" type="noConversion"/>
  </si>
  <si>
    <t>주거연면적</t>
    <phoneticPr fontId="2" type="noConversion"/>
  </si>
  <si>
    <t>신축단가</t>
  </si>
  <si>
    <t>구조</t>
  </si>
  <si>
    <t>용도</t>
  </si>
  <si>
    <t>위치지수</t>
  </si>
  <si>
    <t>기준가격</t>
    <phoneticPr fontId="2" type="noConversion"/>
  </si>
  <si>
    <t>지수</t>
    <phoneticPr fontId="2" type="noConversion"/>
  </si>
  <si>
    <t>■ 건물위치지수</t>
    <phoneticPr fontId="2" type="noConversion"/>
  </si>
  <si>
    <t>합계</t>
    <phoneticPr fontId="2" type="noConversion"/>
  </si>
  <si>
    <t>▶ 개요</t>
    <phoneticPr fontId="2" type="noConversion"/>
  </si>
  <si>
    <t>▶ 토지공시지가</t>
    <phoneticPr fontId="2" type="noConversion"/>
  </si>
  <si>
    <t>㎡당</t>
    <phoneticPr fontId="2" type="noConversion"/>
  </si>
  <si>
    <t>호당</t>
    <phoneticPr fontId="2" type="noConversion"/>
  </si>
  <si>
    <t>▶ 건물기준시가</t>
    <phoneticPr fontId="2" type="noConversion"/>
  </si>
  <si>
    <t>▶ 가격정보</t>
    <phoneticPr fontId="2" type="noConversion"/>
  </si>
  <si>
    <t>▶ 재산세</t>
    <phoneticPr fontId="2" type="noConversion"/>
  </si>
  <si>
    <t>▶ 재산세 도시지역분</t>
    <phoneticPr fontId="2" type="noConversion"/>
  </si>
  <si>
    <t>▶ 지방교육세</t>
    <phoneticPr fontId="2" type="noConversion"/>
  </si>
  <si>
    <t>▶ 지역자원시설세</t>
    <phoneticPr fontId="2" type="noConversion"/>
  </si>
  <si>
    <t>지하주차장</t>
    <phoneticPr fontId="2" type="noConversion"/>
  </si>
  <si>
    <t>토지분</t>
    <phoneticPr fontId="2" type="noConversion"/>
  </si>
  <si>
    <t>▶ 납부세액</t>
    <phoneticPr fontId="2" type="noConversion"/>
  </si>
  <si>
    <t>최저납부</t>
    <phoneticPr fontId="2" type="noConversion"/>
  </si>
  <si>
    <t>도시지역분</t>
    <phoneticPr fontId="2" type="noConversion"/>
  </si>
  <si>
    <t>지방교육세</t>
    <phoneticPr fontId="2" type="noConversion"/>
  </si>
  <si>
    <t>지역자원시설세</t>
    <phoneticPr fontId="2" type="noConversion"/>
  </si>
  <si>
    <t>건물분</t>
    <phoneticPr fontId="2" type="noConversion"/>
  </si>
  <si>
    <t>감면 후</t>
    <phoneticPr fontId="2" type="noConversion"/>
  </si>
  <si>
    <t>감면 전</t>
    <phoneticPr fontId="2" type="noConversion"/>
  </si>
  <si>
    <t>■ 상가</t>
    <phoneticPr fontId="2" type="noConversion"/>
  </si>
  <si>
    <t>■ 주택</t>
    <phoneticPr fontId="2" type="noConversion"/>
  </si>
  <si>
    <t>1F</t>
    <phoneticPr fontId="2" type="noConversion"/>
  </si>
  <si>
    <t>법정 200%</t>
    <phoneticPr fontId="2" type="noConversion"/>
  </si>
  <si>
    <t>평</t>
    <phoneticPr fontId="2" type="noConversion"/>
  </si>
  <si>
    <t>평당</t>
    <phoneticPr fontId="2" type="noConversion"/>
  </si>
  <si>
    <t>호당</t>
    <phoneticPr fontId="2" type="noConversion"/>
  </si>
  <si>
    <t>자기부담</t>
    <phoneticPr fontId="2" type="noConversion"/>
  </si>
  <si>
    <t>외부조달</t>
    <phoneticPr fontId="2" type="noConversion"/>
  </si>
  <si>
    <t>평당</t>
    <phoneticPr fontId="2" type="noConversion"/>
  </si>
  <si>
    <t>자기자본</t>
    <phoneticPr fontId="2" type="noConversion"/>
  </si>
  <si>
    <t>건설투자</t>
    <phoneticPr fontId="2" type="noConversion"/>
  </si>
  <si>
    <t>투입</t>
    <phoneticPr fontId="2" type="noConversion"/>
  </si>
  <si>
    <t>총부채</t>
    <phoneticPr fontId="2" type="noConversion"/>
  </si>
  <si>
    <t>표준건축비</t>
    <phoneticPr fontId="2" type="noConversion"/>
  </si>
  <si>
    <t>국토부 고시</t>
    <phoneticPr fontId="2" type="noConversion"/>
  </si>
  <si>
    <t>㎡당</t>
    <phoneticPr fontId="2" type="noConversion"/>
  </si>
  <si>
    <t>관리경비</t>
    <phoneticPr fontId="2" type="noConversion"/>
  </si>
  <si>
    <t>사업개요</t>
    <phoneticPr fontId="2" type="noConversion"/>
  </si>
  <si>
    <t>매입가격</t>
    <phoneticPr fontId="2" type="noConversion"/>
  </si>
  <si>
    <t>감정평가액</t>
    <phoneticPr fontId="2" type="noConversion"/>
  </si>
  <si>
    <t>매입총액</t>
    <phoneticPr fontId="2" type="noConversion"/>
  </si>
  <si>
    <t>사업자부담액</t>
    <phoneticPr fontId="2" type="noConversion"/>
  </si>
  <si>
    <t>기본금액</t>
    <phoneticPr fontId="2" type="noConversion"/>
  </si>
  <si>
    <t>주택유형</t>
    <phoneticPr fontId="2" type="noConversion"/>
  </si>
  <si>
    <t>가산금액</t>
    <phoneticPr fontId="2" type="noConversion"/>
  </si>
  <si>
    <t>공모지침서 붙임3</t>
    <phoneticPr fontId="2" type="noConversion"/>
  </si>
  <si>
    <t>승강기</t>
    <phoneticPr fontId="2" type="noConversion"/>
  </si>
  <si>
    <t>기준건축비</t>
    <phoneticPr fontId="2" type="noConversion"/>
  </si>
  <si>
    <t>실투입비</t>
    <phoneticPr fontId="2" type="noConversion"/>
  </si>
  <si>
    <t>소화설비</t>
    <phoneticPr fontId="2" type="noConversion"/>
  </si>
  <si>
    <t>태양열</t>
    <phoneticPr fontId="2" type="noConversion"/>
  </si>
  <si>
    <t>CD금리</t>
    <phoneticPr fontId="2" type="noConversion"/>
  </si>
  <si>
    <t>가산금리</t>
    <phoneticPr fontId="2" type="noConversion"/>
  </si>
  <si>
    <t>보증수수료</t>
    <phoneticPr fontId="2" type="noConversion"/>
  </si>
  <si>
    <t>준공가치</t>
    <phoneticPr fontId="2" type="noConversion"/>
  </si>
  <si>
    <t>상가연면적</t>
    <phoneticPr fontId="2" type="noConversion"/>
  </si>
  <si>
    <t>준공가치</t>
    <phoneticPr fontId="2" type="noConversion"/>
  </si>
  <si>
    <t>PF대출</t>
    <phoneticPr fontId="2" type="noConversion"/>
  </si>
  <si>
    <t>대출금리</t>
    <phoneticPr fontId="2" type="noConversion"/>
  </si>
  <si>
    <t>주택변수</t>
    <phoneticPr fontId="2" type="noConversion"/>
  </si>
  <si>
    <t>상가변수</t>
    <phoneticPr fontId="2" type="noConversion"/>
  </si>
  <si>
    <t>-</t>
    <phoneticPr fontId="2" type="noConversion"/>
  </si>
  <si>
    <t>평가 시 조사</t>
    <phoneticPr fontId="2" type="noConversion"/>
  </si>
  <si>
    <t>임대료인상</t>
    <phoneticPr fontId="2" type="noConversion"/>
  </si>
  <si>
    <t>예치자금 금리</t>
    <phoneticPr fontId="2" type="noConversion"/>
  </si>
  <si>
    <t>Inflation</t>
    <phoneticPr fontId="2" type="noConversion"/>
  </si>
  <si>
    <t>임대료율</t>
    <phoneticPr fontId="2" type="noConversion"/>
  </si>
  <si>
    <t>임대료 인상</t>
    <phoneticPr fontId="2" type="noConversion"/>
  </si>
  <si>
    <t>▶ 재산세</t>
    <phoneticPr fontId="2" type="noConversion"/>
  </si>
  <si>
    <t>세율</t>
    <phoneticPr fontId="2" type="noConversion"/>
  </si>
  <si>
    <t>재산세</t>
    <phoneticPr fontId="2" type="noConversion"/>
  </si>
  <si>
    <t>시가표준</t>
    <phoneticPr fontId="2" type="noConversion"/>
  </si>
  <si>
    <t>주택재산세</t>
    <phoneticPr fontId="2" type="noConversion"/>
  </si>
  <si>
    <t>건물재산세</t>
    <phoneticPr fontId="2" type="noConversion"/>
  </si>
  <si>
    <t>보증금 반환 준비금</t>
    <phoneticPr fontId="2" type="noConversion"/>
  </si>
  <si>
    <t>영업현금흐름-In</t>
    <phoneticPr fontId="2" type="noConversion"/>
  </si>
  <si>
    <t>영업현금흐름-Out</t>
    <phoneticPr fontId="2" type="noConversion"/>
  </si>
  <si>
    <t>상환가능현금</t>
    <phoneticPr fontId="2" type="noConversion"/>
  </si>
  <si>
    <t>PF상환</t>
    <phoneticPr fontId="2" type="noConversion"/>
  </si>
  <si>
    <t>보증금 상환</t>
    <phoneticPr fontId="2" type="noConversion"/>
  </si>
  <si>
    <t>당기감소</t>
    <phoneticPr fontId="2" type="noConversion"/>
  </si>
  <si>
    <t>청산가치</t>
    <phoneticPr fontId="2" type="noConversion"/>
  </si>
  <si>
    <t>채무상환</t>
    <phoneticPr fontId="2" type="noConversion"/>
  </si>
  <si>
    <t>보증금 수입</t>
    <phoneticPr fontId="2" type="noConversion"/>
  </si>
  <si>
    <t>건축물 매각</t>
    <phoneticPr fontId="2" type="noConversion"/>
  </si>
  <si>
    <t>건설기간 임대료</t>
    <phoneticPr fontId="2" type="noConversion"/>
  </si>
  <si>
    <t>금액 직접입력</t>
    <phoneticPr fontId="2" type="noConversion"/>
  </si>
  <si>
    <t>금액 직접입력</t>
    <phoneticPr fontId="2" type="noConversion"/>
  </si>
  <si>
    <t>조달-상환</t>
    <phoneticPr fontId="2" type="noConversion"/>
  </si>
  <si>
    <t>시세의 80%</t>
    <phoneticPr fontId="2" type="noConversion"/>
  </si>
  <si>
    <t>1R</t>
  </si>
  <si>
    <t>2R</t>
  </si>
  <si>
    <t>PF 상환율</t>
    <phoneticPr fontId="2" type="noConversion"/>
  </si>
  <si>
    <t>이차보전상한</t>
    <phoneticPr fontId="2" type="noConversion"/>
  </si>
  <si>
    <t>사업자부담액(1.8%)</t>
    <phoneticPr fontId="2" type="noConversion"/>
  </si>
  <si>
    <t>보증수수료</t>
    <phoneticPr fontId="2" type="noConversion"/>
  </si>
  <si>
    <t>이자발생액</t>
    <phoneticPr fontId="2" type="noConversion"/>
  </si>
  <si>
    <t>이차보전액</t>
    <phoneticPr fontId="2" type="noConversion"/>
  </si>
  <si>
    <t>사업자 1차 이체</t>
    <phoneticPr fontId="2" type="noConversion"/>
  </si>
  <si>
    <t>사업자 2차 이체</t>
    <phoneticPr fontId="2" type="noConversion"/>
  </si>
  <si>
    <t>공급</t>
    <phoneticPr fontId="2" type="noConversion"/>
  </si>
  <si>
    <t>전용</t>
    <phoneticPr fontId="2" type="noConversion"/>
  </si>
  <si>
    <t>공급</t>
    <phoneticPr fontId="2" type="noConversion"/>
  </si>
  <si>
    <t>대지지분</t>
    <phoneticPr fontId="2" type="noConversion"/>
  </si>
  <si>
    <t>(주거)건축비</t>
    <phoneticPr fontId="2" type="noConversion"/>
  </si>
  <si>
    <t>사업자부담금</t>
    <phoneticPr fontId="2" type="noConversion"/>
  </si>
  <si>
    <t>대출액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</si>
</sst>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_-;\-* #,##0_-;_-* &quot;-&quot;_-;_-@_-"/>
    <numFmt numFmtId="43" formatCode="_-* #,##0.00_-;\-* #,##0.00_-;_-* &quot;-&quot;??_-;_-@_-"/>
    <numFmt numFmtId="176" formatCode="0.0%"/>
    <numFmt numFmtId="177" formatCode="_-* #,##0_-;\-* #,##0_-;_-* &quot;-&quot;??_-;_-@_-"/>
    <numFmt numFmtId="178" formatCode="_-* #,##0.00_-;\-* #,##0.00_-;_-* &quot;-&quot;_-;_-@_-"/>
    <numFmt numFmtId="179" formatCode="_(* #,##0.00_);_(* \(#,##0.00\);_(* &quot;-&quot;??_);_(@_)"/>
    <numFmt numFmtId="180" formatCode="0.0&quot;㎡&quot;"/>
    <numFmt numFmtId="181" formatCode="0.0&quot;py&quot;"/>
    <numFmt numFmtId="182" formatCode="&quot;@&quot;#,##0&quot; / py&quot;"/>
    <numFmt numFmtId="183" formatCode="&quot;전용 &quot;0.0&quot;㎡&quot;"/>
    <numFmt numFmtId="184" formatCode="#,##0&quot;년&quot;"/>
    <numFmt numFmtId="185" formatCode="&quot;@&quot;#,##0"/>
    <numFmt numFmtId="186" formatCode="&quot;시세 대비&quot;\ 0%"/>
    <numFmt numFmtId="187" formatCode="&quot;@&quot;#,##0\ &quot;/月&quot;"/>
    <numFmt numFmtId="188" formatCode="General&quot;년 마다&quot;"/>
    <numFmt numFmtId="189" formatCode="_-* #,##0.0_-;\-* #,##0.0_-;_-* &quot;-&quot;_-;_-@_-"/>
    <numFmt numFmtId="190" formatCode="0.00&quot;㎡&quot;"/>
    <numFmt numFmtId="191" formatCode="&quot;₩&quot;#,##0&quot;/호,年&quot;"/>
    <numFmt numFmtId="192" formatCode="&quot;@&quot;#,##0\ &quot;/年&quot;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돋움"/>
      <family val="3"/>
      <charset val="129"/>
    </font>
    <font>
      <sz val="10"/>
      <color indexed="8"/>
      <name val="Arial"/>
      <family val="2"/>
    </font>
    <font>
      <sz val="11"/>
      <color theme="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 tint="0.14999847407452621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/>
    <xf numFmtId="179" fontId="5" fillId="0" borderId="0"/>
    <xf numFmtId="0" fontId="5" fillId="0" borderId="0"/>
    <xf numFmtId="41" fontId="1" fillId="0" borderId="0" applyFon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9" fontId="0" fillId="0" borderId="0" xfId="2" applyFont="1">
      <alignment vertical="center"/>
    </xf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0" fontId="0" fillId="0" borderId="0" xfId="0" applyNumberFormat="1">
      <alignment vertical="center"/>
    </xf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10" fontId="0" fillId="0" borderId="0" xfId="2" applyNumberFormat="1" applyFont="1">
      <alignment vertical="center"/>
    </xf>
    <xf numFmtId="9" fontId="0" fillId="0" borderId="0" xfId="0" applyNumberFormat="1">
      <alignment vertical="center"/>
    </xf>
    <xf numFmtId="41" fontId="0" fillId="2" borderId="0" xfId="1" applyFont="1" applyFill="1">
      <alignment vertical="center"/>
    </xf>
    <xf numFmtId="176" fontId="0" fillId="0" borderId="0" xfId="2" applyNumberFormat="1" applyFont="1">
      <alignment vertical="center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6" borderId="0" xfId="0" applyFill="1">
      <alignment vertical="center"/>
    </xf>
    <xf numFmtId="0" fontId="0" fillId="6" borderId="0" xfId="0" applyFill="1" applyAlignment="1">
      <alignment horizontal="center" vertical="center"/>
    </xf>
    <xf numFmtId="0" fontId="0" fillId="7" borderId="0" xfId="0" applyFill="1">
      <alignment vertical="center"/>
    </xf>
    <xf numFmtId="0" fontId="0" fillId="7" borderId="0" xfId="0" applyFill="1" applyAlignment="1">
      <alignment horizontal="center" vertical="center"/>
    </xf>
    <xf numFmtId="0" fontId="6" fillId="3" borderId="0" xfId="0" applyFont="1" applyFill="1">
      <alignment vertical="center"/>
    </xf>
    <xf numFmtId="41" fontId="8" fillId="3" borderId="0" xfId="1" applyFont="1" applyFill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10" fontId="0" fillId="0" borderId="5" xfId="0" applyNumberFormat="1" applyBorder="1">
      <alignment vertical="center"/>
    </xf>
    <xf numFmtId="41" fontId="0" fillId="0" borderId="5" xfId="1" applyFont="1" applyBorder="1">
      <alignment vertical="center"/>
    </xf>
    <xf numFmtId="41" fontId="0" fillId="0" borderId="6" xfId="1" applyFont="1" applyBorder="1">
      <alignment vertical="center"/>
    </xf>
    <xf numFmtId="0" fontId="0" fillId="0" borderId="0" xfId="0" applyBorder="1" applyAlignment="1">
      <alignment horizontal="right" vertical="center"/>
    </xf>
    <xf numFmtId="41" fontId="0" fillId="0" borderId="0" xfId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>
      <alignment vertical="center"/>
    </xf>
    <xf numFmtId="180" fontId="7" fillId="0" borderId="0" xfId="0" applyNumberFormat="1" applyFont="1">
      <alignment vertical="center"/>
    </xf>
    <xf numFmtId="0" fontId="0" fillId="0" borderId="0" xfId="0" quotePrefix="1" applyFill="1" applyBorder="1" applyAlignment="1">
      <alignment horizontal="right" vertical="center"/>
    </xf>
    <xf numFmtId="184" fontId="0" fillId="0" borderId="0" xfId="0" applyNumberFormat="1">
      <alignment vertical="center"/>
    </xf>
    <xf numFmtId="43" fontId="0" fillId="0" borderId="0" xfId="0" applyNumberFormat="1">
      <alignment vertical="center"/>
    </xf>
    <xf numFmtId="180" fontId="7" fillId="0" borderId="0" xfId="0" applyNumberFormat="1" applyFont="1" applyAlignment="1">
      <alignment horizontal="center" vertical="center"/>
    </xf>
    <xf numFmtId="10" fontId="0" fillId="0" borderId="7" xfId="2" applyNumberFormat="1" applyFont="1" applyBorder="1">
      <alignment vertical="center"/>
    </xf>
    <xf numFmtId="0" fontId="0" fillId="0" borderId="7" xfId="0" applyBorder="1">
      <alignment vertical="center"/>
    </xf>
    <xf numFmtId="41" fontId="0" fillId="0" borderId="7" xfId="1" applyFont="1" applyBorder="1">
      <alignment vertical="center"/>
    </xf>
    <xf numFmtId="178" fontId="0" fillId="0" borderId="7" xfId="1" applyNumberFormat="1" applyFont="1" applyBorder="1">
      <alignment vertical="center"/>
    </xf>
    <xf numFmtId="43" fontId="0" fillId="0" borderId="7" xfId="0" applyNumberFormat="1" applyBorder="1">
      <alignment vertical="center"/>
    </xf>
    <xf numFmtId="178" fontId="0" fillId="0" borderId="0" xfId="0" applyNumberFormat="1">
      <alignment vertical="center"/>
    </xf>
    <xf numFmtId="0" fontId="0" fillId="0" borderId="7" xfId="0" applyBorder="1" applyAlignment="1">
      <alignment horizontal="center" vertical="center"/>
    </xf>
    <xf numFmtId="9" fontId="0" fillId="0" borderId="7" xfId="2" applyFont="1" applyBorder="1">
      <alignment vertical="center"/>
    </xf>
    <xf numFmtId="0" fontId="0" fillId="0" borderId="7" xfId="0" applyFill="1" applyBorder="1">
      <alignment vertical="center"/>
    </xf>
    <xf numFmtId="190" fontId="0" fillId="0" borderId="7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0" xfId="0" applyBorder="1" applyAlignment="1">
      <alignment horizontal="left" vertical="center"/>
    </xf>
    <xf numFmtId="41" fontId="7" fillId="0" borderId="0" xfId="1" applyFont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8" fontId="11" fillId="0" borderId="7" xfId="1" applyNumberFormat="1" applyFont="1" applyFill="1" applyBorder="1" applyAlignment="1">
      <alignment horizontal="center" vertical="center"/>
    </xf>
    <xf numFmtId="41" fontId="0" fillId="0" borderId="7" xfId="1" applyNumberFormat="1" applyFont="1" applyBorder="1" applyAlignment="1">
      <alignment horizontal="center" vertical="center"/>
    </xf>
    <xf numFmtId="43" fontId="0" fillId="0" borderId="0" xfId="1" applyNumberFormat="1" applyFont="1">
      <alignment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180" fontId="7" fillId="0" borderId="9" xfId="0" applyNumberFormat="1" applyFont="1" applyBorder="1" applyAlignment="1">
      <alignment horizontal="center" vertical="center"/>
    </xf>
    <xf numFmtId="0" fontId="0" fillId="0" borderId="9" xfId="0" applyBorder="1">
      <alignment vertical="center"/>
    </xf>
    <xf numFmtId="41" fontId="7" fillId="0" borderId="9" xfId="1" applyFont="1" applyBorder="1" applyAlignment="1">
      <alignment horizontal="center" vertical="center"/>
    </xf>
    <xf numFmtId="177" fontId="0" fillId="0" borderId="9" xfId="0" applyNumberFormat="1" applyBorder="1">
      <alignment vertical="center"/>
    </xf>
    <xf numFmtId="43" fontId="0" fillId="0" borderId="9" xfId="0" applyNumberFormat="1" applyBorder="1">
      <alignment vertical="center"/>
    </xf>
    <xf numFmtId="41" fontId="0" fillId="0" borderId="9" xfId="1" applyFont="1" applyBorder="1">
      <alignment vertical="center"/>
    </xf>
    <xf numFmtId="9" fontId="0" fillId="0" borderId="9" xfId="0" applyNumberFormat="1" applyBorder="1">
      <alignment vertical="center"/>
    </xf>
    <xf numFmtId="41" fontId="0" fillId="0" borderId="9" xfId="0" applyNumberFormat="1" applyBorder="1">
      <alignment vertical="center"/>
    </xf>
    <xf numFmtId="10" fontId="0" fillId="0" borderId="9" xfId="0" applyNumberFormat="1" applyBorder="1">
      <alignment vertical="center"/>
    </xf>
    <xf numFmtId="178" fontId="0" fillId="0" borderId="9" xfId="0" applyNumberFormat="1" applyBorder="1">
      <alignment vertical="center"/>
    </xf>
    <xf numFmtId="177" fontId="0" fillId="0" borderId="0" xfId="0" applyNumberFormat="1" applyBorder="1">
      <alignment vertical="center"/>
    </xf>
    <xf numFmtId="0" fontId="0" fillId="0" borderId="8" xfId="0" applyBorder="1">
      <alignment vertical="center"/>
    </xf>
    <xf numFmtId="9" fontId="0" fillId="0" borderId="9" xfId="2" applyFont="1" applyBorder="1">
      <alignment vertical="center"/>
    </xf>
    <xf numFmtId="176" fontId="0" fillId="0" borderId="9" xfId="2" applyNumberFormat="1" applyFont="1" applyBorder="1">
      <alignment vertical="center"/>
    </xf>
    <xf numFmtId="10" fontId="0" fillId="0" borderId="9" xfId="2" applyNumberFormat="1" applyFont="1" applyBorder="1">
      <alignment vertical="center"/>
    </xf>
    <xf numFmtId="189" fontId="0" fillId="0" borderId="0" xfId="1" applyNumberFormat="1" applyFont="1">
      <alignment vertical="center"/>
    </xf>
    <xf numFmtId="189" fontId="0" fillId="0" borderId="9" xfId="1" applyNumberFormat="1" applyFont="1" applyBorder="1">
      <alignment vertical="center"/>
    </xf>
    <xf numFmtId="0" fontId="0" fillId="0" borderId="8" xfId="0" applyFill="1" applyBorder="1" applyAlignment="1">
      <alignment horizontal="center" vertical="center"/>
    </xf>
    <xf numFmtId="9" fontId="0" fillId="0" borderId="0" xfId="2" quotePrefix="1" applyFont="1" applyFill="1" applyBorder="1" applyAlignment="1">
      <alignment horizontal="right" vertical="center"/>
    </xf>
    <xf numFmtId="0" fontId="0" fillId="0" borderId="0" xfId="0" quotePrefix="1" applyFill="1" applyBorder="1" applyAlignment="1">
      <alignment horizontal="left" vertical="center"/>
    </xf>
    <xf numFmtId="0" fontId="0" fillId="8" borderId="0" xfId="0" applyFill="1">
      <alignment vertical="center"/>
    </xf>
    <xf numFmtId="41" fontId="0" fillId="0" borderId="0" xfId="1" applyFont="1" applyAlignment="1">
      <alignment horizontal="right" vertical="center"/>
    </xf>
    <xf numFmtId="185" fontId="0" fillId="0" borderId="0" xfId="0" applyNumberFormat="1" applyAlignment="1">
      <alignment horizontal="right" vertical="center"/>
    </xf>
    <xf numFmtId="9" fontId="0" fillId="0" borderId="0" xfId="2" applyFont="1" applyAlignment="1">
      <alignment horizontal="right" vertical="center"/>
    </xf>
    <xf numFmtId="177" fontId="0" fillId="0" borderId="0" xfId="1" applyNumberFormat="1" applyFon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center" vertical="center"/>
    </xf>
    <xf numFmtId="176" fontId="0" fillId="0" borderId="0" xfId="2" applyNumberFormat="1" applyFont="1" applyAlignment="1">
      <alignment horizontal="righ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right" vertical="center"/>
    </xf>
    <xf numFmtId="183" fontId="0" fillId="0" borderId="0" xfId="0" applyNumberFormat="1" applyAlignment="1">
      <alignment horizontal="right" vertical="center"/>
    </xf>
    <xf numFmtId="186" fontId="0" fillId="0" borderId="0" xfId="0" applyNumberFormat="1" applyAlignment="1">
      <alignment horizontal="right" vertical="center"/>
    </xf>
    <xf numFmtId="187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82" fontId="0" fillId="0" borderId="0" xfId="0" applyNumberFormat="1" applyAlignment="1">
      <alignment horizontal="right" vertical="center"/>
    </xf>
    <xf numFmtId="188" fontId="0" fillId="0" borderId="0" xfId="0" applyNumberFormat="1" applyAlignment="1">
      <alignment horizontal="right" vertical="center"/>
    </xf>
    <xf numFmtId="191" fontId="0" fillId="0" borderId="0" xfId="0" applyNumberFormat="1" applyBorder="1" applyAlignment="1">
      <alignment horizontal="right" vertical="center"/>
    </xf>
    <xf numFmtId="0" fontId="0" fillId="0" borderId="0" xfId="0" applyFill="1">
      <alignment vertical="center"/>
    </xf>
    <xf numFmtId="41" fontId="0" fillId="0" borderId="7" xfId="1" applyNumberFormat="1" applyFont="1" applyFill="1" applyBorder="1" applyAlignment="1">
      <alignment horizontal="center" vertical="center"/>
    </xf>
    <xf numFmtId="43" fontId="0" fillId="0" borderId="0" xfId="1" applyNumberFormat="1" applyFont="1" applyFill="1">
      <alignment vertical="center"/>
    </xf>
    <xf numFmtId="41" fontId="0" fillId="0" borderId="0" xfId="1" applyFont="1" applyFill="1">
      <alignment vertical="center"/>
    </xf>
    <xf numFmtId="41" fontId="0" fillId="0" borderId="0" xfId="1" applyFont="1" applyFill="1" applyBorder="1">
      <alignment vertical="center"/>
    </xf>
    <xf numFmtId="0" fontId="0" fillId="0" borderId="0" xfId="0" applyFill="1" applyBorder="1">
      <alignment vertical="center"/>
    </xf>
    <xf numFmtId="0" fontId="0" fillId="9" borderId="0" xfId="0" applyFill="1">
      <alignment vertical="center"/>
    </xf>
    <xf numFmtId="0" fontId="0" fillId="9" borderId="0" xfId="0" applyFill="1" applyAlignment="1">
      <alignment horizontal="center" vertical="center"/>
    </xf>
    <xf numFmtId="0" fontId="7" fillId="10" borderId="0" xfId="1" applyNumberFormat="1" applyFont="1" applyFill="1" applyAlignment="1">
      <alignment horizontal="center" vertical="center"/>
    </xf>
    <xf numFmtId="41" fontId="7" fillId="10" borderId="0" xfId="1" applyFont="1" applyFill="1" applyAlignment="1">
      <alignment horizontal="center" vertical="center"/>
    </xf>
    <xf numFmtId="0" fontId="0" fillId="11" borderId="0" xfId="0" applyFill="1">
      <alignment vertical="center"/>
    </xf>
    <xf numFmtId="0" fontId="0" fillId="0" borderId="10" xfId="0" applyFill="1" applyBorder="1">
      <alignment vertical="center"/>
    </xf>
    <xf numFmtId="0" fontId="0" fillId="0" borderId="8" xfId="0" applyFill="1" applyBorder="1">
      <alignment vertical="center"/>
    </xf>
    <xf numFmtId="41" fontId="0" fillId="0" borderId="8" xfId="0" applyNumberFormat="1" applyFill="1" applyBorder="1" applyAlignment="1">
      <alignment horizontal="center" vertical="center"/>
    </xf>
    <xf numFmtId="41" fontId="0" fillId="0" borderId="11" xfId="0" applyNumberFormat="1" applyFill="1" applyBorder="1" applyAlignment="1">
      <alignment horizontal="center" vertical="center"/>
    </xf>
    <xf numFmtId="0" fontId="0" fillId="12" borderId="0" xfId="0" applyFill="1">
      <alignment vertical="center"/>
    </xf>
    <xf numFmtId="0" fontId="0" fillId="12" borderId="0" xfId="0" applyFill="1" applyAlignment="1">
      <alignment horizontal="center" vertical="center"/>
    </xf>
    <xf numFmtId="0" fontId="0" fillId="13" borderId="0" xfId="0" applyFill="1">
      <alignment vertical="center"/>
    </xf>
    <xf numFmtId="0" fontId="0" fillId="13" borderId="0" xfId="0" applyFill="1" applyAlignment="1">
      <alignment horizontal="center" vertical="center"/>
    </xf>
    <xf numFmtId="181" fontId="0" fillId="0" borderId="0" xfId="0" applyNumberFormat="1" applyAlignment="1">
      <alignment horizontal="right" vertical="center"/>
    </xf>
    <xf numFmtId="185" fontId="0" fillId="0" borderId="0" xfId="0" applyNumberFormat="1" applyBorder="1" applyAlignment="1">
      <alignment horizontal="right" vertical="center"/>
    </xf>
    <xf numFmtId="192" fontId="0" fillId="0" borderId="0" xfId="0" applyNumberFormat="1" applyBorder="1" applyAlignment="1">
      <alignment horizontal="right" vertical="center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10" fontId="0" fillId="4" borderId="2" xfId="0" applyNumberFormat="1" applyFill="1" applyBorder="1">
      <alignment vertical="center"/>
    </xf>
    <xf numFmtId="178" fontId="0" fillId="0" borderId="0" xfId="1" applyNumberFormat="1" applyFont="1">
      <alignment vertical="center"/>
    </xf>
    <xf numFmtId="10" fontId="0" fillId="0" borderId="0" xfId="2" applyNumberFormat="1" applyFont="1" applyAlignment="1">
      <alignment horizontal="center" vertical="center"/>
    </xf>
    <xf numFmtId="0" fontId="12" fillId="0" borderId="0" xfId="0" applyFont="1" applyFill="1" applyBorder="1">
      <alignment vertical="center"/>
    </xf>
    <xf numFmtId="41" fontId="12" fillId="0" borderId="0" xfId="0" applyNumberFormat="1" applyFont="1" applyFill="1" applyBorder="1">
      <alignment vertical="center"/>
    </xf>
    <xf numFmtId="10" fontId="12" fillId="0" borderId="0" xfId="0" applyNumberFormat="1" applyFont="1" applyFill="1" applyBorder="1">
      <alignment vertical="center"/>
    </xf>
    <xf numFmtId="9" fontId="12" fillId="0" borderId="0" xfId="1" applyNumberFormat="1" applyFont="1" applyFill="1" applyBorder="1">
      <alignment vertical="center"/>
    </xf>
    <xf numFmtId="41" fontId="12" fillId="0" borderId="0" xfId="1" applyFont="1" applyFill="1" applyBorder="1" applyAlignment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176" fontId="12" fillId="0" borderId="0" xfId="2" applyNumberFormat="1" applyFont="1" applyFill="1" applyBorder="1">
      <alignment vertical="center"/>
    </xf>
    <xf numFmtId="41" fontId="12" fillId="0" borderId="0" xfId="1" applyFont="1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0" fillId="0" borderId="12" xfId="0" applyBorder="1">
      <alignment vertical="center"/>
    </xf>
    <xf numFmtId="41" fontId="0" fillId="0" borderId="12" xfId="0" applyNumberFormat="1" applyBorder="1">
      <alignment vertical="center"/>
    </xf>
    <xf numFmtId="0" fontId="18" fillId="0" borderId="13" xfId="0" applyFont="1" applyBorder="1" applyAlignment="1">
      <alignment horizontal="left" vertical="center"/>
    </xf>
    <xf numFmtId="41" fontId="18" fillId="0" borderId="0" xfId="1" applyFont="1" applyAlignment="1">
      <alignment horizontal="right" vertical="center"/>
    </xf>
    <xf numFmtId="0" fontId="18" fillId="0" borderId="14" xfId="0" applyFont="1" applyBorder="1" applyAlignment="1">
      <alignment horizontal="left" vertical="center"/>
    </xf>
    <xf numFmtId="10" fontId="16" fillId="0" borderId="0" xfId="2" applyNumberFormat="1" applyFont="1">
      <alignment vertical="center"/>
    </xf>
    <xf numFmtId="0" fontId="0" fillId="11" borderId="0" xfId="0" applyFill="1" applyAlignment="1">
      <alignment horizontal="right" vertical="center"/>
    </xf>
    <xf numFmtId="41" fontId="0" fillId="11" borderId="0" xfId="1" applyFont="1" applyFill="1">
      <alignment vertical="center"/>
    </xf>
    <xf numFmtId="41" fontId="0" fillId="0" borderId="0" xfId="0" quotePrefix="1" applyNumberForma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185" fontId="0" fillId="0" borderId="15" xfId="0" applyNumberFormat="1" applyBorder="1" applyAlignment="1">
      <alignment horizontal="right" vertical="center"/>
    </xf>
    <xf numFmtId="187" fontId="0" fillId="0" borderId="16" xfId="0" applyNumberFormat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10" fontId="16" fillId="11" borderId="0" xfId="2" applyNumberFormat="1" applyFont="1" applyFill="1">
      <alignment vertical="center"/>
    </xf>
    <xf numFmtId="10" fontId="0" fillId="0" borderId="0" xfId="1" applyNumberFormat="1" applyFont="1">
      <alignment vertical="center"/>
    </xf>
    <xf numFmtId="9" fontId="0" fillId="0" borderId="0" xfId="1" applyNumberFormat="1" applyFont="1">
      <alignment vertical="center"/>
    </xf>
    <xf numFmtId="41" fontId="0" fillId="14" borderId="0" xfId="1" applyFont="1" applyFill="1">
      <alignment vertical="center"/>
    </xf>
    <xf numFmtId="41" fontId="0" fillId="0" borderId="0" xfId="1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15" borderId="0" xfId="0" applyFill="1">
      <alignment vertical="center"/>
    </xf>
    <xf numFmtId="0" fontId="0" fillId="15" borderId="0" xfId="0" applyFill="1" applyAlignment="1">
      <alignment horizontal="center" vertical="center"/>
    </xf>
    <xf numFmtId="177" fontId="0" fillId="7" borderId="0" xfId="0" applyNumberFormat="1" applyFill="1" applyAlignment="1">
      <alignment horizontal="center" vertical="center"/>
    </xf>
    <xf numFmtId="177" fontId="0" fillId="8" borderId="0" xfId="0" applyNumberFormat="1" applyFill="1" applyAlignment="1">
      <alignment horizontal="center" vertical="center"/>
    </xf>
    <xf numFmtId="41" fontId="0" fillId="8" borderId="0" xfId="1" applyFont="1" applyFill="1" applyAlignment="1">
      <alignment horizontal="center" vertical="center"/>
    </xf>
    <xf numFmtId="177" fontId="0" fillId="3" borderId="0" xfId="0" applyNumberFormat="1" applyFill="1" applyAlignment="1">
      <alignment horizontal="center" vertical="center"/>
    </xf>
    <xf numFmtId="0" fontId="0" fillId="16" borderId="0" xfId="0" applyFill="1">
      <alignment vertical="center"/>
    </xf>
    <xf numFmtId="0" fontId="0" fillId="16" borderId="0" xfId="0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Alignment="1">
      <alignment vertical="center"/>
    </xf>
    <xf numFmtId="178" fontId="0" fillId="0" borderId="0" xfId="0" applyNumberFormat="1" applyAlignment="1">
      <alignment vertical="center"/>
    </xf>
    <xf numFmtId="10" fontId="0" fillId="0" borderId="0" xfId="2" applyNumberFormat="1" applyFont="1" applyAlignment="1">
      <alignment vertical="center"/>
    </xf>
    <xf numFmtId="41" fontId="0" fillId="0" borderId="0" xfId="1" applyFont="1" applyAlignment="1">
      <alignment vertical="center"/>
    </xf>
    <xf numFmtId="9" fontId="0" fillId="0" borderId="0" xfId="1" applyNumberFormat="1" applyFont="1" applyAlignment="1">
      <alignment vertical="center"/>
    </xf>
    <xf numFmtId="41" fontId="0" fillId="14" borderId="0" xfId="1" applyFont="1" applyFill="1" applyAlignment="1">
      <alignment horizontal="center" vertical="center"/>
    </xf>
    <xf numFmtId="41" fontId="0" fillId="0" borderId="5" xfId="1" applyFont="1" applyBorder="1" applyAlignment="1">
      <alignment horizontal="center" vertical="center"/>
    </xf>
  </cellXfs>
  <cellStyles count="17">
    <cellStyle name="백분율" xfId="2" builtinId="5"/>
    <cellStyle name="백분율 2" xfId="6"/>
    <cellStyle name="백분율 2 2" xfId="13"/>
    <cellStyle name="쉼표 [0]" xfId="1" builtinId="6"/>
    <cellStyle name="쉼표 [0] 2" xfId="8"/>
    <cellStyle name="쉼표 [0] 2 2" xfId="4"/>
    <cellStyle name="쉼표 [0] 2 3" xfId="14"/>
    <cellStyle name="쉼표 [0] 2 3 2" xfId="5"/>
    <cellStyle name="쉼표 [0] 7" xfId="16"/>
    <cellStyle name="표준" xfId="0" builtinId="0"/>
    <cellStyle name="표준 2" xfId="7"/>
    <cellStyle name="표준 2 2" xfId="10"/>
    <cellStyle name="표준 2 3" xfId="15"/>
    <cellStyle name="표준 3" xfId="9"/>
    <cellStyle name="표준 3 2" xfId="11"/>
    <cellStyle name="표준 4" xfId="3"/>
    <cellStyle name="하이퍼링크 2" xfId="12"/>
  </cellStyles>
  <dxfs count="0"/>
  <tableStyles count="0" defaultTableStyle="TableStyleMedium2" defaultPivotStyle="PivotStyleLight16"/>
  <colors>
    <mruColors>
      <color rgb="FFFF9999"/>
      <color rgb="FFCC0066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83</xdr:row>
      <xdr:rowOff>108858</xdr:rowOff>
    </xdr:from>
    <xdr:ext cx="855875" cy="422423"/>
    <xdr:sp macro="" textlink="">
      <xdr:nvSpPr>
        <xdr:cNvPr id="5" name="TextBox 4"/>
        <xdr:cNvSpPr txBox="1"/>
      </xdr:nvSpPr>
      <xdr:spPr>
        <a:xfrm>
          <a:off x="15103927" y="17539608"/>
          <a:ext cx="855875" cy="422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800">
              <a:latin typeface="KoPub돋움체 Bold" panose="00000800000000000000" pitchFamily="2" charset="-127"/>
              <a:ea typeface="KoPub돋움체 Bold" panose="00000800000000000000" pitchFamily="2" charset="-127"/>
            </a:rPr>
            <a:t>PF</a:t>
          </a:r>
          <a:r>
            <a:rPr lang="ko-KR" altLang="en-US" sz="1800">
              <a:latin typeface="KoPub돋움체 Bold" panose="00000800000000000000" pitchFamily="2" charset="-127"/>
              <a:ea typeface="KoPub돋움체 Bold" panose="00000800000000000000" pitchFamily="2" charset="-127"/>
            </a:rPr>
            <a:t>잔액</a:t>
          </a:r>
        </a:p>
      </xdr:txBody>
    </xdr:sp>
    <xdr:clientData/>
  </xdr:oneCellAnchor>
  <xdr:oneCellAnchor>
    <xdr:from>
      <xdr:col>0</xdr:col>
      <xdr:colOff>0</xdr:colOff>
      <xdr:row>86</xdr:row>
      <xdr:rowOff>2726</xdr:rowOff>
    </xdr:from>
    <xdr:ext cx="1459246" cy="422423"/>
    <xdr:sp macro="" textlink="">
      <xdr:nvSpPr>
        <xdr:cNvPr id="6" name="TextBox 5"/>
        <xdr:cNvSpPr txBox="1"/>
      </xdr:nvSpPr>
      <xdr:spPr>
        <a:xfrm>
          <a:off x="16369394" y="18062126"/>
          <a:ext cx="1459246" cy="422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800">
              <a:latin typeface="KoPub돋움체 Bold" panose="00000800000000000000" pitchFamily="2" charset="-127"/>
              <a:ea typeface="KoPub돋움체 Bold" panose="00000800000000000000" pitchFamily="2" charset="-127"/>
            </a:rPr>
            <a:t>기금융자 잔액</a:t>
          </a:r>
        </a:p>
      </xdr:txBody>
    </xdr:sp>
    <xdr:clientData/>
  </xdr:oneCellAnchor>
  <xdr:oneCellAnchor>
    <xdr:from>
      <xdr:col>0</xdr:col>
      <xdr:colOff>0</xdr:colOff>
      <xdr:row>80</xdr:row>
      <xdr:rowOff>195947</xdr:rowOff>
    </xdr:from>
    <xdr:ext cx="4254242" cy="491417"/>
    <xdr:sp macro="" textlink="">
      <xdr:nvSpPr>
        <xdr:cNvPr id="7" name="TextBox 6"/>
        <xdr:cNvSpPr txBox="1"/>
      </xdr:nvSpPr>
      <xdr:spPr>
        <a:xfrm>
          <a:off x="21398594" y="16998047"/>
          <a:ext cx="4254242" cy="4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ko-KR" sz="1800" b="1">
              <a:effectLst/>
            </a:rPr>
            <a:t>기말 자산가치 </a:t>
          </a:r>
          <a:r>
            <a:rPr lang="en-US" altLang="ko-KR" sz="1800" b="1">
              <a:effectLst/>
            </a:rPr>
            <a:t>+ </a:t>
          </a:r>
          <a:r>
            <a:rPr lang="ko-KR" altLang="ko-KR" sz="1800" b="1">
              <a:effectLst/>
            </a:rPr>
            <a:t>현금잔액 </a:t>
          </a:r>
          <a:r>
            <a:rPr lang="en-US" altLang="ko-KR" sz="1800" b="1">
              <a:effectLst/>
            </a:rPr>
            <a:t>= 1,687</a:t>
          </a:r>
          <a:r>
            <a:rPr lang="ko-KR" altLang="ko-KR" sz="1800" b="1">
              <a:effectLst/>
            </a:rPr>
            <a:t>백만원</a:t>
          </a:r>
          <a:r>
            <a:rPr lang="en-US" altLang="ko-KR" sz="1800" b="1">
              <a:effectLst/>
            </a:rPr>
            <a:t> </a:t>
          </a:r>
          <a:endParaRPr lang="ko-KR" altLang="en-US" sz="3200" b="1">
            <a:latin typeface="KoPub돋움체 Bold" panose="00000800000000000000" pitchFamily="2" charset="-127"/>
            <a:ea typeface="KoPub돋움체 Bold" panose="00000800000000000000" pitchFamily="2" charset="-127"/>
          </a:endParaRPr>
        </a:p>
      </xdr:txBody>
    </xdr:sp>
    <xdr:clientData/>
  </xdr:oneCellAnchor>
  <xdr:oneCellAnchor>
    <xdr:from>
      <xdr:col>0</xdr:col>
      <xdr:colOff>0</xdr:colOff>
      <xdr:row>82</xdr:row>
      <xdr:rowOff>117027</xdr:rowOff>
    </xdr:from>
    <xdr:ext cx="3446777" cy="491417"/>
    <xdr:sp macro="" textlink="">
      <xdr:nvSpPr>
        <xdr:cNvPr id="8" name="TextBox 7"/>
        <xdr:cNvSpPr txBox="1"/>
      </xdr:nvSpPr>
      <xdr:spPr>
        <a:xfrm>
          <a:off x="21401317" y="17338227"/>
          <a:ext cx="3446777" cy="4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ko-KR" sz="1800" b="1">
              <a:effectLst/>
            </a:rPr>
            <a:t>기말 </a:t>
          </a:r>
          <a:r>
            <a:rPr lang="ko-KR" altLang="en-US" sz="1800" b="1">
              <a:effectLst/>
            </a:rPr>
            <a:t>보증금 잔액 </a:t>
          </a:r>
          <a:r>
            <a:rPr lang="en-US" altLang="ko-KR" sz="1800" b="1">
              <a:effectLst/>
            </a:rPr>
            <a:t>=  1,613</a:t>
          </a:r>
          <a:r>
            <a:rPr lang="ko-KR" altLang="ko-KR" sz="1800" b="1">
              <a:effectLst/>
            </a:rPr>
            <a:t>백만원</a:t>
          </a:r>
          <a:r>
            <a:rPr lang="en-US" altLang="ko-KR" sz="1800" b="1">
              <a:effectLst/>
            </a:rPr>
            <a:t> </a:t>
          </a:r>
          <a:endParaRPr lang="ko-KR" altLang="en-US" sz="3200" b="1">
            <a:latin typeface="KoPub돋움체 Bold" panose="00000800000000000000" pitchFamily="2" charset="-127"/>
            <a:ea typeface="KoPub돋움체 Bold" panose="00000800000000000000" pitchFamily="2" charset="-127"/>
          </a:endParaRPr>
        </a:p>
      </xdr:txBody>
    </xdr:sp>
    <xdr:clientData/>
  </xdr:oneCellAnchor>
  <xdr:oneCellAnchor>
    <xdr:from>
      <xdr:col>0</xdr:col>
      <xdr:colOff>0</xdr:colOff>
      <xdr:row>81</xdr:row>
      <xdr:rowOff>70758</xdr:rowOff>
    </xdr:from>
    <xdr:ext cx="1459246" cy="422423"/>
    <xdr:sp macro="" textlink="">
      <xdr:nvSpPr>
        <xdr:cNvPr id="9" name="TextBox 8"/>
        <xdr:cNvSpPr txBox="1"/>
      </xdr:nvSpPr>
      <xdr:spPr>
        <a:xfrm>
          <a:off x="15065827" y="17082408"/>
          <a:ext cx="1459246" cy="422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800">
              <a:latin typeface="KoPub돋움체 Bold" panose="00000800000000000000" pitchFamily="2" charset="-127"/>
              <a:ea typeface="KoPub돋움체 Bold" panose="00000800000000000000" pitchFamily="2" charset="-127"/>
            </a:rPr>
            <a:t>사업자 선투입</a:t>
          </a:r>
        </a:p>
      </xdr:txBody>
    </xdr:sp>
    <xdr:clientData/>
  </xdr:oneCellAnchor>
  <xdr:oneCellAnchor>
    <xdr:from>
      <xdr:col>0</xdr:col>
      <xdr:colOff>0</xdr:colOff>
      <xdr:row>84</xdr:row>
      <xdr:rowOff>51713</xdr:rowOff>
    </xdr:from>
    <xdr:ext cx="3385992" cy="491417"/>
    <xdr:sp macro="" textlink="">
      <xdr:nvSpPr>
        <xdr:cNvPr id="10" name="TextBox 9"/>
        <xdr:cNvSpPr txBox="1"/>
      </xdr:nvSpPr>
      <xdr:spPr>
        <a:xfrm>
          <a:off x="21404039" y="17692013"/>
          <a:ext cx="3385992" cy="4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ko-KR" sz="1800" b="1">
              <a:effectLst/>
            </a:rPr>
            <a:t>기말 </a:t>
          </a:r>
          <a:r>
            <a:rPr lang="ko-KR" altLang="en-US" sz="1800" b="1">
              <a:effectLst/>
            </a:rPr>
            <a:t>사업자 귀속액 </a:t>
          </a:r>
          <a:r>
            <a:rPr lang="en-US" altLang="ko-KR" sz="1800" b="1">
              <a:effectLst/>
            </a:rPr>
            <a:t>=  74</a:t>
          </a:r>
          <a:r>
            <a:rPr lang="ko-KR" altLang="ko-KR" sz="1800" b="1">
              <a:effectLst/>
            </a:rPr>
            <a:t>백만원</a:t>
          </a:r>
          <a:r>
            <a:rPr lang="en-US" altLang="ko-KR" sz="1800" b="1">
              <a:effectLst/>
            </a:rPr>
            <a:t> </a:t>
          </a:r>
          <a:endParaRPr lang="ko-KR" altLang="en-US" sz="3200" b="1">
            <a:latin typeface="KoPub돋움체 Bold" panose="00000800000000000000" pitchFamily="2" charset="-127"/>
            <a:ea typeface="KoPub돋움체 Bold" panose="00000800000000000000" pitchFamily="2" charset="-127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2"/>
  <sheetViews>
    <sheetView showGridLines="0" zoomScaleNormal="100" workbookViewId="0">
      <selection activeCell="B29" sqref="B29"/>
    </sheetView>
  </sheetViews>
  <sheetFormatPr defaultColWidth="9" defaultRowHeight="17.399999999999999"/>
  <cols>
    <col min="1" max="1" width="3.8984375" style="9" customWidth="1"/>
    <col min="2" max="2" width="16.09765625" style="9" customWidth="1"/>
    <col min="3" max="3" width="11.5" style="9" bestFit="1" customWidth="1"/>
    <col min="4" max="4" width="13.5" style="1" bestFit="1" customWidth="1"/>
    <col min="5" max="5" width="11.5" style="1" bestFit="1" customWidth="1"/>
    <col min="6" max="31" width="11.5" style="1" customWidth="1"/>
    <col min="32" max="32" width="11.5" style="1" bestFit="1" customWidth="1"/>
    <col min="33" max="33" width="12.59765625" style="1" bestFit="1" customWidth="1"/>
    <col min="34" max="16384" width="9" style="9"/>
  </cols>
  <sheetData>
    <row r="1" spans="1:33">
      <c r="A1" s="107"/>
      <c r="B1" s="107"/>
      <c r="C1" s="107">
        <v>0</v>
      </c>
      <c r="D1" s="108">
        <v>1</v>
      </c>
      <c r="E1" s="108">
        <v>2</v>
      </c>
      <c r="F1" s="108">
        <v>3</v>
      </c>
      <c r="G1" s="108">
        <v>4</v>
      </c>
      <c r="H1" s="108">
        <v>5</v>
      </c>
      <c r="I1" s="108">
        <v>6</v>
      </c>
      <c r="J1" s="108">
        <v>7</v>
      </c>
      <c r="K1" s="108">
        <v>8</v>
      </c>
      <c r="L1" s="108">
        <v>9</v>
      </c>
      <c r="M1" s="108">
        <v>10</v>
      </c>
      <c r="N1" s="108">
        <v>11</v>
      </c>
      <c r="O1" s="108">
        <v>12</v>
      </c>
      <c r="P1" s="108">
        <v>13</v>
      </c>
      <c r="Q1" s="108">
        <v>14</v>
      </c>
      <c r="R1" s="108">
        <v>15</v>
      </c>
      <c r="S1" s="108">
        <v>16</v>
      </c>
      <c r="T1" s="108">
        <v>17</v>
      </c>
      <c r="U1" s="108">
        <v>18</v>
      </c>
      <c r="V1" s="108">
        <v>19</v>
      </c>
      <c r="W1" s="108">
        <v>20</v>
      </c>
      <c r="X1" s="108">
        <v>21</v>
      </c>
      <c r="Y1" s="108">
        <v>22</v>
      </c>
      <c r="Z1" s="108">
        <v>23</v>
      </c>
      <c r="AA1" s="108">
        <v>24</v>
      </c>
      <c r="AB1" s="108">
        <v>25</v>
      </c>
      <c r="AC1" s="108">
        <v>26</v>
      </c>
      <c r="AD1" s="108">
        <v>27</v>
      </c>
      <c r="AE1" s="108">
        <v>28</v>
      </c>
      <c r="AF1" s="108">
        <v>29</v>
      </c>
      <c r="AG1" s="108">
        <v>30</v>
      </c>
    </row>
    <row r="2" spans="1:33" s="168" customFormat="1">
      <c r="A2" s="168" t="s">
        <v>20</v>
      </c>
      <c r="D2" s="169">
        <f>(1+사업개요!$I$25)^C1</f>
        <v>1</v>
      </c>
      <c r="E2" s="169">
        <f>(1+사업개요!$I$25)^D1</f>
        <v>1.0149999999999999</v>
      </c>
      <c r="F2" s="169">
        <f>(1+사업개요!$I$25)^E1</f>
        <v>1.0302249999999997</v>
      </c>
      <c r="G2" s="169">
        <f>(1+사업개요!$I$25)^F1</f>
        <v>1.0456783749999996</v>
      </c>
      <c r="H2" s="169">
        <f>(1+사업개요!$I$25)^G1</f>
        <v>1.0613635506249994</v>
      </c>
      <c r="I2" s="169">
        <f>(1+사업개요!$I$25)^H1</f>
        <v>1.0772840038843743</v>
      </c>
      <c r="J2" s="169">
        <f>(1+사업개요!$I$25)^I1</f>
        <v>1.0934432639426397</v>
      </c>
      <c r="K2" s="169">
        <f>(1+사업개요!$I$25)^J1</f>
        <v>1.1098449129017791</v>
      </c>
      <c r="L2" s="169">
        <f>(1+사업개요!$I$25)^K1</f>
        <v>1.1264925865953057</v>
      </c>
      <c r="M2" s="169">
        <f>(1+사업개요!$I$25)^L1</f>
        <v>1.1433899753942351</v>
      </c>
      <c r="N2" s="169">
        <f>(1+사업개요!$I$25)^M1</f>
        <v>1.1605408250251485</v>
      </c>
      <c r="O2" s="169">
        <f>(1+사업개요!$I$25)^N1</f>
        <v>1.1779489374005256</v>
      </c>
      <c r="P2" s="169">
        <f>(1+사업개요!$I$25)^O1</f>
        <v>1.1956181714615333</v>
      </c>
      <c r="Q2" s="169">
        <f>(1+사업개요!$I$25)^P1</f>
        <v>1.2135524440334562</v>
      </c>
      <c r="R2" s="169">
        <f>(1+사업개요!$I$25)^Q1</f>
        <v>1.2317557306939577</v>
      </c>
      <c r="S2" s="169">
        <f>(1+사업개요!$I$25)^R1</f>
        <v>1.2502320666543669</v>
      </c>
      <c r="T2" s="169">
        <f>(1+사업개요!$I$25)^S1</f>
        <v>1.2689855476541823</v>
      </c>
      <c r="U2" s="169">
        <f>(1+사업개요!$I$25)^T1</f>
        <v>1.2880203308689948</v>
      </c>
      <c r="V2" s="169">
        <f>(1+사업개요!$I$25)^U1</f>
        <v>1.3073406358320296</v>
      </c>
      <c r="W2" s="169">
        <f>(1+사업개요!$I$25)^V1</f>
        <v>1.32695074536951</v>
      </c>
      <c r="X2" s="169">
        <f>(1+사업개요!$I$25)^W1</f>
        <v>1.3468550065500522</v>
      </c>
      <c r="Y2" s="169">
        <f>(1+사업개요!$I$25)^X1</f>
        <v>1.3670578316483029</v>
      </c>
      <c r="Z2" s="169">
        <f>(1+사업개요!$I$25)^Y1</f>
        <v>1.3875636991230271</v>
      </c>
      <c r="AA2" s="169">
        <f>(1+사업개요!$I$25)^Z1</f>
        <v>1.4083771546098725</v>
      </c>
      <c r="AB2" s="169">
        <f>(1+사업개요!$I$25)^AA1</f>
        <v>1.4295028119290203</v>
      </c>
      <c r="AC2" s="169">
        <f>(1+사업개요!$I$25)^AB1</f>
        <v>1.4509453541079556</v>
      </c>
      <c r="AD2" s="169">
        <f>(1+사업개요!$I$25)^AC1</f>
        <v>1.4727095344195746</v>
      </c>
      <c r="AE2" s="169">
        <f>(1+사업개요!$I$25)^AD1</f>
        <v>1.4948001774358681</v>
      </c>
      <c r="AF2" s="169">
        <f>(1+사업개요!$I$25)^AE1</f>
        <v>1.5172221800974057</v>
      </c>
      <c r="AG2" s="169">
        <f>(1+사업개요!$I$25)^AF1</f>
        <v>1.5399805127988668</v>
      </c>
    </row>
    <row r="3" spans="1:33" s="168" customFormat="1">
      <c r="A3" s="168" t="s">
        <v>19</v>
      </c>
      <c r="D3" s="170">
        <v>8.9999999999999998E-4</v>
      </c>
      <c r="E3" s="170">
        <f>D3</f>
        <v>8.9999999999999998E-4</v>
      </c>
      <c r="F3" s="170">
        <f>E3</f>
        <v>8.9999999999999998E-4</v>
      </c>
      <c r="G3" s="170">
        <f>F3</f>
        <v>8.9999999999999998E-4</v>
      </c>
      <c r="H3" s="170">
        <f>G3</f>
        <v>8.9999999999999998E-4</v>
      </c>
      <c r="I3" s="170">
        <v>3.5000000000000001E-3</v>
      </c>
      <c r="J3" s="170">
        <v>3.5000000000000001E-3</v>
      </c>
      <c r="K3" s="170">
        <v>3.5000000000000001E-3</v>
      </c>
      <c r="L3" s="170">
        <v>3.5000000000000001E-3</v>
      </c>
      <c r="M3" s="170">
        <v>3.5000000000000001E-3</v>
      </c>
      <c r="N3" s="170">
        <v>8.5000000000000006E-3</v>
      </c>
      <c r="O3" s="170">
        <v>8.5000000000000006E-3</v>
      </c>
      <c r="P3" s="170">
        <v>8.5000000000000006E-3</v>
      </c>
      <c r="Q3" s="170">
        <v>8.5000000000000006E-3</v>
      </c>
      <c r="R3" s="170">
        <v>8.5000000000000006E-3</v>
      </c>
      <c r="S3" s="170">
        <v>1.1599999999999999E-2</v>
      </c>
      <c r="T3" s="170">
        <v>1.1599999999999999E-2</v>
      </c>
      <c r="U3" s="170">
        <v>1.1599999999999999E-2</v>
      </c>
      <c r="V3" s="170">
        <v>1.1599999999999999E-2</v>
      </c>
      <c r="W3" s="170">
        <v>1.1599999999999999E-2</v>
      </c>
      <c r="X3" s="170">
        <v>1.4E-2</v>
      </c>
      <c r="Y3" s="170">
        <v>1.4E-2</v>
      </c>
      <c r="Z3" s="170">
        <v>1.4E-2</v>
      </c>
      <c r="AA3" s="170">
        <v>1.4E-2</v>
      </c>
      <c r="AB3" s="170">
        <v>1.4E-2</v>
      </c>
      <c r="AC3" s="170">
        <v>1.78E-2</v>
      </c>
      <c r="AD3" s="170">
        <v>1.78E-2</v>
      </c>
      <c r="AE3" s="170">
        <v>1.78E-2</v>
      </c>
      <c r="AF3" s="170">
        <v>1.78E-2</v>
      </c>
      <c r="AG3" s="170">
        <v>1.78E-2</v>
      </c>
    </row>
    <row r="4" spans="1:33" s="168" customFormat="1">
      <c r="A4" s="168" t="s">
        <v>18</v>
      </c>
      <c r="D4" s="171">
        <f>ROUNDDOWN(C1/사업개요!$J$24,0)</f>
        <v>0</v>
      </c>
      <c r="E4" s="171">
        <f>ROUNDDOWN(D1/사업개요!$J$24,0)</f>
        <v>0</v>
      </c>
      <c r="F4" s="171">
        <f>ROUNDDOWN(E1/사업개요!$J$24,0)</f>
        <v>1</v>
      </c>
      <c r="G4" s="171">
        <f>ROUNDDOWN(F1/사업개요!$J$24,0)</f>
        <v>1</v>
      </c>
      <c r="H4" s="171">
        <f>ROUNDDOWN(G1/사업개요!$J$24,0)</f>
        <v>2</v>
      </c>
      <c r="I4" s="171">
        <f>ROUNDDOWN(H1/사업개요!$J$24,0)</f>
        <v>2</v>
      </c>
      <c r="J4" s="171">
        <f>ROUNDDOWN(I1/사업개요!$J$24,0)</f>
        <v>3</v>
      </c>
      <c r="K4" s="171">
        <f>ROUNDDOWN(J1/사업개요!$J$24,0)</f>
        <v>3</v>
      </c>
      <c r="L4" s="171">
        <f>ROUNDDOWN(K1/사업개요!$J$24,0)</f>
        <v>4</v>
      </c>
      <c r="M4" s="171">
        <f>ROUNDDOWN(L1/사업개요!$J$24,0)</f>
        <v>4</v>
      </c>
      <c r="N4" s="171">
        <f>ROUNDDOWN(M1/사업개요!$J$24,0)</f>
        <v>5</v>
      </c>
      <c r="O4" s="171">
        <f>ROUNDDOWN(N1/사업개요!$J$24,0)</f>
        <v>5</v>
      </c>
      <c r="P4" s="171">
        <f>ROUNDDOWN(O1/사업개요!$J$24,0)</f>
        <v>6</v>
      </c>
      <c r="Q4" s="171">
        <f>ROUNDDOWN(P1/사업개요!$J$24,0)</f>
        <v>6</v>
      </c>
      <c r="R4" s="171">
        <f>ROUNDDOWN(Q1/사업개요!$J$24,0)</f>
        <v>7</v>
      </c>
      <c r="S4" s="171">
        <f>ROUNDDOWN(R1/사업개요!$J$24,0)</f>
        <v>7</v>
      </c>
      <c r="T4" s="171">
        <f>ROUNDDOWN(S1/사업개요!$J$24,0)</f>
        <v>8</v>
      </c>
      <c r="U4" s="171">
        <f>ROUNDDOWN(T1/사업개요!$J$24,0)</f>
        <v>8</v>
      </c>
      <c r="V4" s="171">
        <f>ROUNDDOWN(U1/사업개요!$J$24,0)</f>
        <v>9</v>
      </c>
      <c r="W4" s="171">
        <f>ROUNDDOWN(V1/사업개요!$J$24,0)</f>
        <v>9</v>
      </c>
      <c r="X4" s="171">
        <f>ROUNDDOWN(W1/사업개요!$J$24,0)</f>
        <v>10</v>
      </c>
      <c r="Y4" s="171">
        <f>ROUNDDOWN(X1/사업개요!$J$24,0)</f>
        <v>10</v>
      </c>
      <c r="Z4" s="171">
        <f>ROUNDDOWN(Y1/사업개요!$J$24,0)</f>
        <v>11</v>
      </c>
      <c r="AA4" s="171">
        <f>ROUNDDOWN(Z1/사업개요!$J$24,0)</f>
        <v>11</v>
      </c>
      <c r="AB4" s="171">
        <f>ROUNDDOWN(AA1/사업개요!$J$24,0)</f>
        <v>12</v>
      </c>
      <c r="AC4" s="171">
        <f>ROUNDDOWN(AB1/사업개요!$J$24,0)</f>
        <v>12</v>
      </c>
      <c r="AD4" s="171">
        <f>ROUNDDOWN(AC1/사업개요!$J$24,0)</f>
        <v>13</v>
      </c>
      <c r="AE4" s="171">
        <f>ROUNDDOWN(AD1/사업개요!$J$24,0)</f>
        <v>13</v>
      </c>
      <c r="AF4" s="171">
        <f>ROUNDDOWN(AE1/사업개요!$J$24,0)</f>
        <v>14</v>
      </c>
      <c r="AG4" s="171">
        <f>ROUNDDOWN(AF1/사업개요!$J$24,0)</f>
        <v>14</v>
      </c>
    </row>
    <row r="5" spans="1:33" s="168" customFormat="1">
      <c r="A5" s="168" t="s">
        <v>192</v>
      </c>
      <c r="D5" s="172">
        <v>0.5</v>
      </c>
      <c r="E5" s="171"/>
      <c r="F5" s="172">
        <v>0.03</v>
      </c>
      <c r="G5" s="171"/>
      <c r="H5" s="172">
        <v>0.03</v>
      </c>
      <c r="I5" s="171"/>
      <c r="J5" s="172">
        <v>0.03</v>
      </c>
      <c r="K5" s="171"/>
      <c r="L5" s="172">
        <v>0.03</v>
      </c>
      <c r="M5" s="171"/>
      <c r="N5" s="172">
        <v>0.03</v>
      </c>
      <c r="O5" s="171"/>
      <c r="P5" s="172">
        <v>0.03</v>
      </c>
      <c r="Q5" s="171"/>
      <c r="R5" s="172">
        <v>0.03</v>
      </c>
      <c r="S5" s="171"/>
      <c r="T5" s="172">
        <v>0.03</v>
      </c>
      <c r="U5" s="171"/>
      <c r="V5" s="172">
        <v>0.03</v>
      </c>
      <c r="W5" s="171"/>
      <c r="X5" s="172">
        <v>0.03</v>
      </c>
      <c r="Y5" s="171"/>
      <c r="Z5" s="172">
        <v>0.03</v>
      </c>
      <c r="AA5" s="171"/>
      <c r="AB5" s="172">
        <v>0.03</v>
      </c>
      <c r="AC5" s="171"/>
      <c r="AD5" s="172">
        <v>0.03</v>
      </c>
      <c r="AE5" s="171"/>
      <c r="AF5" s="172">
        <v>0.03</v>
      </c>
      <c r="AG5" s="172">
        <f>1-SUM(D5:AF5)</f>
        <v>7.9999999999999627E-2</v>
      </c>
    </row>
    <row r="6" spans="1:33" s="168" customFormat="1">
      <c r="A6" s="168" t="s">
        <v>193</v>
      </c>
      <c r="D6" s="171">
        <f t="shared" ref="D6:Q6" si="0">C56*2%</f>
        <v>22451.444540551744</v>
      </c>
      <c r="E6" s="171">
        <f t="shared" si="0"/>
        <v>11225.722270275872</v>
      </c>
      <c r="F6" s="171">
        <f t="shared" si="0"/>
        <v>11225.722270275872</v>
      </c>
      <c r="G6" s="171">
        <f t="shared" si="0"/>
        <v>10552.17893405932</v>
      </c>
      <c r="H6" s="171">
        <f t="shared" si="0"/>
        <v>10552.17893405932</v>
      </c>
      <c r="I6" s="171">
        <f t="shared" si="0"/>
        <v>9878.6355978427673</v>
      </c>
      <c r="J6" s="171">
        <f t="shared" si="0"/>
        <v>9878.6355978427673</v>
      </c>
      <c r="K6" s="171">
        <f t="shared" si="0"/>
        <v>9205.092261626216</v>
      </c>
      <c r="L6" s="171">
        <f t="shared" si="0"/>
        <v>9205.092261626216</v>
      </c>
      <c r="M6" s="171">
        <f t="shared" si="0"/>
        <v>8531.5489254096628</v>
      </c>
      <c r="N6" s="171">
        <f t="shared" si="0"/>
        <v>8531.5489254096628</v>
      </c>
      <c r="O6" s="171">
        <f t="shared" si="0"/>
        <v>7858.0055891931106</v>
      </c>
      <c r="P6" s="171">
        <f t="shared" si="0"/>
        <v>7858.0055891931106</v>
      </c>
      <c r="Q6" s="171">
        <f t="shared" si="0"/>
        <v>7184.4622529765584</v>
      </c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</row>
    <row r="7" spans="1:33" s="168" customFormat="1">
      <c r="A7" s="168" t="s">
        <v>194</v>
      </c>
      <c r="D7" s="171">
        <f>C56*1.8%</f>
        <v>20206.300086496569</v>
      </c>
      <c r="E7" s="171">
        <f t="shared" ref="E7:Q7" si="1">D56*1.8%</f>
        <v>10103.150043248284</v>
      </c>
      <c r="F7" s="171">
        <f t="shared" si="1"/>
        <v>10103.150043248284</v>
      </c>
      <c r="G7" s="171">
        <f t="shared" si="1"/>
        <v>9496.9610406533884</v>
      </c>
      <c r="H7" s="171">
        <f t="shared" si="1"/>
        <v>9496.9610406533884</v>
      </c>
      <c r="I7" s="171">
        <f t="shared" si="1"/>
        <v>8890.7720380584924</v>
      </c>
      <c r="J7" s="171">
        <f t="shared" si="1"/>
        <v>8890.7720380584924</v>
      </c>
      <c r="K7" s="171">
        <f t="shared" si="1"/>
        <v>8284.5830354635946</v>
      </c>
      <c r="L7" s="171">
        <f t="shared" si="1"/>
        <v>8284.5830354635946</v>
      </c>
      <c r="M7" s="171">
        <f t="shared" si="1"/>
        <v>7678.3940328686976</v>
      </c>
      <c r="N7" s="171">
        <f t="shared" si="1"/>
        <v>7678.3940328686976</v>
      </c>
      <c r="O7" s="171">
        <f t="shared" si="1"/>
        <v>7072.2050302737998</v>
      </c>
      <c r="P7" s="171">
        <f t="shared" si="1"/>
        <v>7072.2050302737998</v>
      </c>
      <c r="Q7" s="171">
        <f t="shared" si="1"/>
        <v>6466.0160276789029</v>
      </c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</row>
    <row r="8" spans="1:33" s="168" customFormat="1">
      <c r="A8" s="168" t="s">
        <v>196</v>
      </c>
      <c r="D8" s="171">
        <f>D18</f>
        <v>42096.458513534526</v>
      </c>
      <c r="E8" s="171">
        <f t="shared" ref="E8:Q8" si="2">E18</f>
        <v>21048.229256767263</v>
      </c>
      <c r="F8" s="171">
        <f t="shared" si="2"/>
        <v>21048.229256767263</v>
      </c>
      <c r="G8" s="171">
        <f t="shared" si="2"/>
        <v>19785.335501361227</v>
      </c>
      <c r="H8" s="171">
        <f t="shared" si="2"/>
        <v>19785.335501361227</v>
      </c>
      <c r="I8" s="171">
        <f t="shared" si="2"/>
        <v>18522.441745955191</v>
      </c>
      <c r="J8" s="171">
        <f t="shared" si="2"/>
        <v>18522.441745955191</v>
      </c>
      <c r="K8" s="171">
        <f t="shared" si="2"/>
        <v>17259.547990549156</v>
      </c>
      <c r="L8" s="171">
        <f t="shared" si="2"/>
        <v>17259.547990549156</v>
      </c>
      <c r="M8" s="171">
        <f t="shared" si="2"/>
        <v>15996.65423514312</v>
      </c>
      <c r="N8" s="171">
        <f t="shared" si="2"/>
        <v>15996.65423514312</v>
      </c>
      <c r="O8" s="171">
        <f t="shared" si="2"/>
        <v>14733.760479737084</v>
      </c>
      <c r="P8" s="171">
        <f t="shared" si="2"/>
        <v>14733.760479737084</v>
      </c>
      <c r="Q8" s="171">
        <f t="shared" si="2"/>
        <v>13470.866724331048</v>
      </c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</row>
    <row r="9" spans="1:33"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</row>
    <row r="10" spans="1:33">
      <c r="A10" s="16" t="s">
        <v>175</v>
      </c>
      <c r="B10" s="16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>
      <c r="B11" s="9" t="s">
        <v>10</v>
      </c>
      <c r="C11" s="10"/>
      <c r="D11" s="2">
        <f>사업개요!$I$22*(1+사업개요!$I$24)^D4*(1-사업개요!$I$23)</f>
        <v>61186.070879999985</v>
      </c>
      <c r="E11" s="2">
        <f>사업개요!$I$22*(1+사업개요!$I$24)^E4*(1-사업개요!$I$23)</f>
        <v>61186.070879999985</v>
      </c>
      <c r="F11" s="2">
        <f>사업개요!$I$22*(1+사업개요!$I$24)^F4*(1-사업개요!$I$23)</f>
        <v>63021.653006399989</v>
      </c>
      <c r="G11" s="2">
        <f>사업개요!$I$22*(1+사업개요!$I$24)^G4*(1-사업개요!$I$23)</f>
        <v>63021.653006399989</v>
      </c>
      <c r="H11" s="2">
        <f>사업개요!$I$22*(1+사업개요!$I$24)^H4*(1-사업개요!$I$23)</f>
        <v>64912.302596591981</v>
      </c>
      <c r="I11" s="2">
        <f>사업개요!$I$22*(1+사업개요!$I$24)^I4*(1-사업개요!$I$23)</f>
        <v>64912.302596591981</v>
      </c>
      <c r="J11" s="2">
        <f>사업개요!$I$22*(1+사업개요!$I$24)^J4*(1-사업개요!$I$23)</f>
        <v>66859.671674489742</v>
      </c>
      <c r="K11" s="2">
        <f>사업개요!$I$22*(1+사업개요!$I$24)^K4*(1-사업개요!$I$23)</f>
        <v>66859.671674489742</v>
      </c>
      <c r="L11" s="2">
        <f>사업개요!$I$22*(1+사업개요!$I$24)^L4*(1-사업개요!$I$23)</f>
        <v>68865.461824724422</v>
      </c>
      <c r="M11" s="2">
        <f>사업개요!$I$22*(1+사업개요!$I$24)^M4*(1-사업개요!$I$23)</f>
        <v>68865.461824724422</v>
      </c>
      <c r="N11" s="2">
        <f>사업개요!$I$22*(1+사업개요!$I$24)^N4*(1-사업개요!$I$23)</f>
        <v>70931.425679466163</v>
      </c>
      <c r="O11" s="2">
        <f>사업개요!$I$22*(1+사업개요!$I$24)^O4*(1-사업개요!$I$23)</f>
        <v>70931.425679466163</v>
      </c>
      <c r="P11" s="2">
        <f>사업개요!$I$22*(1+사업개요!$I$24)^P4*(1-사업개요!$I$23)</f>
        <v>73059.368449850153</v>
      </c>
      <c r="Q11" s="2">
        <f>사업개요!$I$22*(1+사업개요!$I$24)^Q4*(1-사업개요!$I$23)</f>
        <v>73059.368449850153</v>
      </c>
      <c r="R11" s="2">
        <f>사업개요!$I$22*(1+사업개요!$I$24)^R4*(1-사업개요!$I$23)</f>
        <v>75251.149503345659</v>
      </c>
      <c r="S11" s="2">
        <f>사업개요!$I$22*(1+사업개요!$I$24)^S4*(1-사업개요!$I$23)</f>
        <v>75251.149503345659</v>
      </c>
      <c r="T11" s="2">
        <f>사업개요!$I$22*(1+사업개요!$I$24)^T4*(1-사업개요!$I$23)</f>
        <v>77508.683988446021</v>
      </c>
      <c r="U11" s="2">
        <f>사업개요!$I$22*(1+사업개요!$I$24)^U4*(1-사업개요!$I$23)</f>
        <v>77508.683988446021</v>
      </c>
      <c r="V11" s="2">
        <f>사업개요!$I$22*(1+사업개요!$I$24)^V4*(1-사업개요!$I$23)</f>
        <v>79833.944508099405</v>
      </c>
      <c r="W11" s="2">
        <f>사업개요!$I$22*(1+사업개요!$I$24)^W4*(1-사업개요!$I$23)</f>
        <v>79833.944508099405</v>
      </c>
      <c r="X11" s="2">
        <f>사업개요!$I$22*(1+사업개요!$I$24)^X4*(1-사업개요!$I$23)</f>
        <v>82228.962843342379</v>
      </c>
      <c r="Y11" s="2">
        <f>사업개요!$I$22*(1+사업개요!$I$24)^Y4*(1-사업개요!$I$23)</f>
        <v>82228.962843342379</v>
      </c>
      <c r="Z11" s="2">
        <f>사업개요!$I$22*(1+사업개요!$I$24)^Z4*(1-사업개요!$I$23)</f>
        <v>84695.831728642661</v>
      </c>
      <c r="AA11" s="2">
        <f>사업개요!$I$22*(1+사업개요!$I$24)^AA4*(1-사업개요!$I$23)</f>
        <v>84695.831728642661</v>
      </c>
      <c r="AB11" s="2">
        <f>사업개요!$I$22*(1+사업개요!$I$24)^AB4*(1-사업개요!$I$23)</f>
        <v>87236.706680501928</v>
      </c>
      <c r="AC11" s="2">
        <f>사업개요!$I$22*(1+사업개요!$I$24)^AC4*(1-사업개요!$I$23)</f>
        <v>87236.706680501928</v>
      </c>
      <c r="AD11" s="2">
        <f>사업개요!$I$22*(1+사업개요!$I$24)^AD4*(1-사업개요!$I$23)</f>
        <v>89853.807880916982</v>
      </c>
      <c r="AE11" s="2">
        <f>사업개요!$I$22*(1+사업개요!$I$24)^AE4*(1-사업개요!$I$23)</f>
        <v>89853.807880916982</v>
      </c>
      <c r="AF11" s="2">
        <f>사업개요!$I$22*(1+사업개요!$I$24)^AF4*(1-사업개요!$I$23)</f>
        <v>92549.422117344497</v>
      </c>
      <c r="AG11" s="2">
        <f>사업개요!$I$22*(1+사업개요!$I$24)^AG4*(1-사업개요!$I$23)</f>
        <v>92549.422117344497</v>
      </c>
    </row>
    <row r="12" spans="1:33">
      <c r="B12" s="9" t="s">
        <v>11</v>
      </c>
      <c r="C12" s="10"/>
      <c r="D12" s="2">
        <f>사업개요!$O$19*(1+사업개요!$O$20)^D4</f>
        <v>6600</v>
      </c>
      <c r="E12" s="2">
        <f>사업개요!$O$19*(1+사업개요!$O$20)^E4</f>
        <v>6600</v>
      </c>
      <c r="F12" s="2">
        <f>사업개요!$O$19*(1+사업개요!$O$20)^F4</f>
        <v>6798</v>
      </c>
      <c r="G12" s="2">
        <f>사업개요!$O$19*(1+사업개요!$O$20)^G4</f>
        <v>6798</v>
      </c>
      <c r="H12" s="2">
        <f>사업개요!$O$19*(1+사업개요!$O$20)^H4</f>
        <v>7001.94</v>
      </c>
      <c r="I12" s="2">
        <f>사업개요!$O$19*(1+사업개요!$O$20)^I4</f>
        <v>7001.94</v>
      </c>
      <c r="J12" s="2">
        <f>사업개요!$O$19*(1+사업개요!$O$20)^J4</f>
        <v>7211.9982</v>
      </c>
      <c r="K12" s="2">
        <f>사업개요!$O$19*(1+사업개요!$O$20)^K4</f>
        <v>7211.9982</v>
      </c>
      <c r="L12" s="2">
        <f>사업개요!$O$19*(1+사업개요!$O$20)^L4</f>
        <v>7428.3581459999996</v>
      </c>
      <c r="M12" s="2">
        <f>사업개요!$O$19*(1+사업개요!$O$20)^M4</f>
        <v>7428.3581459999996</v>
      </c>
      <c r="N12" s="2">
        <f>사업개요!$O$19*(1+사업개요!$O$20)^N4</f>
        <v>7651.2088903799986</v>
      </c>
      <c r="O12" s="2">
        <f>사업개요!$O$19*(1+사업개요!$O$20)^O4</f>
        <v>7651.2088903799986</v>
      </c>
      <c r="P12" s="2">
        <f>사업개요!$O$19*(1+사업개요!$O$20)^P4</f>
        <v>7880.7451570913991</v>
      </c>
      <c r="Q12" s="2">
        <f>사업개요!$O$19*(1+사업개요!$O$20)^Q4</f>
        <v>7880.7451570913991</v>
      </c>
      <c r="R12" s="2">
        <f>사업개요!$O$19*(1+사업개요!$O$20)^R4</f>
        <v>8117.1675118041421</v>
      </c>
      <c r="S12" s="2">
        <f>사업개요!$O$19*(1+사업개요!$O$20)^S4</f>
        <v>8117.1675118041421</v>
      </c>
      <c r="T12" s="2">
        <f>사업개요!$O$19*(1+사업개요!$O$20)^T4</f>
        <v>8360.6825371582654</v>
      </c>
      <c r="U12" s="2">
        <f>사업개요!$O$19*(1+사업개요!$O$20)^U4</f>
        <v>8360.6825371582654</v>
      </c>
      <c r="V12" s="2">
        <f>사업개요!$O$19*(1+사업개요!$O$20)^V4</f>
        <v>8611.5030132730135</v>
      </c>
      <c r="W12" s="2">
        <f>사업개요!$O$19*(1+사업개요!$O$20)^W4</f>
        <v>8611.5030132730135</v>
      </c>
      <c r="X12" s="2">
        <f>사업개요!$O$19*(1+사업개요!$O$20)^X4</f>
        <v>8869.8481036712037</v>
      </c>
      <c r="Y12" s="2">
        <f>사업개요!$O$19*(1+사업개요!$O$20)^Y4</f>
        <v>8869.8481036712037</v>
      </c>
      <c r="Z12" s="2">
        <f>사업개요!$O$19*(1+사업개요!$O$20)^Z4</f>
        <v>9135.94354678134</v>
      </c>
      <c r="AA12" s="2">
        <f>사업개요!$O$19*(1+사업개요!$O$20)^AA4</f>
        <v>9135.94354678134</v>
      </c>
      <c r="AB12" s="2">
        <f>사업개요!$O$19*(1+사업개요!$O$20)^AB4</f>
        <v>9410.0218531847786</v>
      </c>
      <c r="AC12" s="2">
        <f>사업개요!$O$19*(1+사업개요!$O$20)^AC4</f>
        <v>9410.0218531847786</v>
      </c>
      <c r="AD12" s="2">
        <f>사업개요!$O$19*(1+사업개요!$O$20)^AD4</f>
        <v>9692.3225087803221</v>
      </c>
      <c r="AE12" s="2">
        <f>사업개요!$O$19*(1+사업개요!$O$20)^AE4</f>
        <v>9692.3225087803221</v>
      </c>
      <c r="AF12" s="2">
        <f>사업개요!$O$19*(1+사업개요!$O$20)^AF4</f>
        <v>9983.0921840437331</v>
      </c>
      <c r="AG12" s="2">
        <f>사업개요!$O$19*(1+사업개요!$O$20)^AG4</f>
        <v>9983.0921840437331</v>
      </c>
    </row>
    <row r="13" spans="1:33">
      <c r="B13" s="9" t="s">
        <v>12</v>
      </c>
      <c r="C13" s="10"/>
      <c r="D13" s="2">
        <v>0</v>
      </c>
      <c r="E13" s="2">
        <f ca="1">IFERROR((D49+E39)/2*사업개요!$I$26,0)</f>
        <v>661.96522788576351</v>
      </c>
      <c r="F13" s="2">
        <f ca="1">IFERROR((E49+F39)/2*사업개요!$I$26,0)</f>
        <v>983.40941978537717</v>
      </c>
      <c r="G13" s="2">
        <f ca="1">IFERROR((F49+G39)/2*사업개요!$I$26,0)</f>
        <v>709.95733486564518</v>
      </c>
      <c r="H13" s="2">
        <f ca="1">IFERROR((G49+H39)/2*사업개요!$I$26,0)</f>
        <v>1047.1825063197423</v>
      </c>
      <c r="I13" s="2">
        <f ca="1">IFERROR((H49+I39)/2*사업개요!$I$26,0)</f>
        <v>744.23545329706371</v>
      </c>
      <c r="J13" s="2">
        <f ca="1">IFERROR((I49+J39)/2*사업개요!$I$26,0)</f>
        <v>1098.0223046015246</v>
      </c>
      <c r="K13" s="2">
        <f ca="1">IFERROR((J49+K39)/2*사업개요!$I$26,0)</f>
        <v>796.1327383741592</v>
      </c>
      <c r="L13" s="2">
        <f ca="1">IFERROR((K49+L39)/2*사업개요!$I$26,0)</f>
        <v>1167.3007545753105</v>
      </c>
      <c r="M13" s="2">
        <f ca="1">IFERROR((L49+M39)/2*사업개요!$I$26,0)</f>
        <v>850.11873670423017</v>
      </c>
      <c r="N13" s="2">
        <f ca="1">IFERROR((M49+N39)/2*사업개요!$I$26,0)</f>
        <v>1209.4846684527531</v>
      </c>
      <c r="O13" s="2">
        <f ca="1">IFERROR((N49+O39)/2*사업개요!$I$26,0)</f>
        <v>888.50038005349631</v>
      </c>
      <c r="P13" s="2">
        <f ca="1">IFERROR((O49+P39)/2*사업개요!$I$26,0)</f>
        <v>1297.054075228285</v>
      </c>
      <c r="Q13" s="2">
        <f ca="1">IFERROR((P49+Q39)/2*사업개요!$I$26,0)</f>
        <v>1045.4297084254317</v>
      </c>
      <c r="R13" s="2">
        <f ca="1">IFERROR((Q49+R39)/2*사업개요!$I$26,0)</f>
        <v>1421.1421555353575</v>
      </c>
      <c r="S13" s="2">
        <f ca="1">IFERROR((R49+S39)/2*사업개요!$I$26,0)</f>
        <v>1155.801435120432</v>
      </c>
      <c r="T13" s="2">
        <f ca="1">IFERROR((S49+T39)/2*사업개요!$I$26,0)</f>
        <v>1605.5343246433545</v>
      </c>
      <c r="U13" s="2">
        <f ca="1">IFERROR((T49+U39)/2*사업개요!$I$26,0)</f>
        <v>1358.7670560437489</v>
      </c>
      <c r="V13" s="2">
        <f ca="1">IFERROR((U49+V39)/2*사업개요!$I$26,0)</f>
        <v>1830.6313930941917</v>
      </c>
      <c r="W13" s="2">
        <f ca="1">IFERROR((V49+W39)/2*사업개요!$I$26,0)</f>
        <v>1583.8090200966326</v>
      </c>
      <c r="X13" s="2">
        <f ca="1">IFERROR((W49+X39)/2*사업개요!$I$26,0)</f>
        <v>2064.4802544424037</v>
      </c>
      <c r="Y13" s="2">
        <f ca="1">IFERROR((X49+Y39)/2*사업개요!$I$26,0)</f>
        <v>1817.601111516457</v>
      </c>
      <c r="Z13" s="2">
        <f ca="1">IFERROR((Y49+Z39)/2*사업개요!$I$26,0)</f>
        <v>2337.0717697604282</v>
      </c>
      <c r="AA13" s="2">
        <f ca="1">IFERROR((Z49+AA39)/2*사업개요!$I$26,0)</f>
        <v>2090.1341410350128</v>
      </c>
      <c r="AB13" s="2">
        <f ca="1">IFERROR((AA49+AB39)/2*사업개요!$I$26,0)</f>
        <v>2635.1914042293338</v>
      </c>
      <c r="AC13" s="2">
        <f ca="1">IFERROR((AB49+AC39)/2*사업개요!$I$26,0)</f>
        <v>2365.3604993011318</v>
      </c>
      <c r="AD13" s="2">
        <f ca="1">IFERROR((AC49+AD39)/2*사업개요!$I$26,0)</f>
        <v>2937.2724803243232</v>
      </c>
      <c r="AE13" s="2">
        <f ca="1">IFERROR((AD49+AE39)/2*사업개요!$I$26,0)</f>
        <v>2690.2125233703623</v>
      </c>
      <c r="AF13" s="2">
        <f ca="1">IFERROR((AE49+AF39)/2*사업개요!$I$26,0)</f>
        <v>3290.3104044879278</v>
      </c>
      <c r="AG13" s="2">
        <f ca="1">IFERROR((AF49+AG39)/2*사업개요!$I$26,0)</f>
        <v>13059.81436271233</v>
      </c>
    </row>
    <row r="15" spans="1:33">
      <c r="A15" s="18" t="s">
        <v>176</v>
      </c>
      <c r="B15" s="18"/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spans="1:33">
      <c r="A16" s="20" t="s">
        <v>25</v>
      </c>
      <c r="B16" s="20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>
      <c r="B17" s="9" t="s">
        <v>6</v>
      </c>
      <c r="C17" s="2"/>
      <c r="D17" s="2">
        <f>사업개요!$I$4*사업개요!$I$7*1.1</f>
        <v>37268.000000000015</v>
      </c>
      <c r="E17" s="2">
        <f>사업개요!$I$4*사업개요!$I$7*1.1</f>
        <v>37268.000000000015</v>
      </c>
      <c r="F17" s="2">
        <f>사업개요!$I$4*사업개요!$I$7*1.1</f>
        <v>37268.000000000015</v>
      </c>
      <c r="G17" s="2">
        <f>사업개요!$I$4*사업개요!$I$7*1.1</f>
        <v>37268.000000000015</v>
      </c>
      <c r="H17" s="2">
        <f>사업개요!$I$4*사업개요!$I$7*1.1</f>
        <v>37268.000000000015</v>
      </c>
      <c r="I17" s="2">
        <f>사업개요!$I$4*사업개요!$I$7*1.1</f>
        <v>37268.000000000015</v>
      </c>
      <c r="J17" s="2">
        <f>사업개요!$I$4*사업개요!$I$7*1.1</f>
        <v>37268.000000000015</v>
      </c>
      <c r="K17" s="2">
        <f>사업개요!$I$4*사업개요!$I$7*1.1</f>
        <v>37268.000000000015</v>
      </c>
      <c r="L17" s="2">
        <f>사업개요!$I$4*사업개요!$I$7*1.1</f>
        <v>37268.000000000015</v>
      </c>
      <c r="M17" s="2">
        <f>사업개요!$I$4*사업개요!$I$7*1.1</f>
        <v>37268.000000000015</v>
      </c>
      <c r="N17" s="2">
        <f>사업개요!$I$4*사업개요!$I$7*1.1</f>
        <v>37268.000000000015</v>
      </c>
      <c r="O17" s="2">
        <f>사업개요!$I$4*사업개요!$I$7*1.1</f>
        <v>37268.000000000015</v>
      </c>
      <c r="P17" s="2">
        <f>사업개요!$I$4*사업개요!$I$7*1.1</f>
        <v>37268.000000000015</v>
      </c>
      <c r="Q17" s="2">
        <f>사업개요!$I$4*사업개요!$I$7*1.1</f>
        <v>37268.000000000015</v>
      </c>
      <c r="R17" s="2">
        <f>사업개요!$I$4*사업개요!$I$7*1.1</f>
        <v>37268.000000000015</v>
      </c>
      <c r="S17" s="2">
        <f>사업개요!$I$4*사업개요!$I$7*1.1</f>
        <v>37268.000000000015</v>
      </c>
      <c r="T17" s="2">
        <f>사업개요!$I$4*사업개요!$I$7*1.1</f>
        <v>37268.000000000015</v>
      </c>
      <c r="U17" s="2">
        <f>사업개요!$I$4*사업개요!$I$7*1.1</f>
        <v>37268.000000000015</v>
      </c>
      <c r="V17" s="2">
        <f>사업개요!$I$4*사업개요!$I$7*1.1</f>
        <v>37268.000000000015</v>
      </c>
      <c r="W17" s="2">
        <f>사업개요!$I$4*사업개요!$I$7*1.1</f>
        <v>37268.000000000015</v>
      </c>
      <c r="X17" s="2">
        <f>사업개요!$I$4*사업개요!$I$7*1.1</f>
        <v>37268.000000000015</v>
      </c>
      <c r="Y17" s="2">
        <f>사업개요!$I$4*사업개요!$I$7*1.1</f>
        <v>37268.000000000015</v>
      </c>
      <c r="Z17" s="2">
        <f>사업개요!$I$4*사업개요!$I$7*1.1</f>
        <v>37268.000000000015</v>
      </c>
      <c r="AA17" s="2">
        <f>사업개요!$I$4*사업개요!$I$7*1.1</f>
        <v>37268.000000000015</v>
      </c>
      <c r="AB17" s="2">
        <f>사업개요!$I$4*사업개요!$I$7*1.1</f>
        <v>37268.000000000015</v>
      </c>
      <c r="AC17" s="2">
        <f>사업개요!$I$4*사업개요!$I$7*1.1</f>
        <v>37268.000000000015</v>
      </c>
      <c r="AD17" s="2">
        <f>사업개요!$I$4*사업개요!$I$7*1.1</f>
        <v>37268.000000000015</v>
      </c>
      <c r="AE17" s="2">
        <f>사업개요!$I$4*사업개요!$I$7*1.1</f>
        <v>37268.000000000015</v>
      </c>
      <c r="AF17" s="2">
        <f>사업개요!$I$4*사업개요!$I$7*1.1</f>
        <v>37268.000000000015</v>
      </c>
      <c r="AG17" s="2">
        <f>사업개요!$I$4*사업개요!$I$7*1.1</f>
        <v>37268.000000000015</v>
      </c>
    </row>
    <row r="18" spans="1:33">
      <c r="B18" s="9" t="s">
        <v>13</v>
      </c>
      <c r="C18" s="10"/>
      <c r="D18" s="2">
        <f>IFERROR(C56*사업개요!$C$23,0)</f>
        <v>42096.458513534526</v>
      </c>
      <c r="E18" s="2">
        <f>IFERROR(D56*사업개요!$C$23,0)</f>
        <v>21048.229256767263</v>
      </c>
      <c r="F18" s="2">
        <f>IFERROR(E56*사업개요!$C$23,0)</f>
        <v>21048.229256767263</v>
      </c>
      <c r="G18" s="2">
        <f>IFERROR(F56*사업개요!$C$23,0)</f>
        <v>19785.335501361227</v>
      </c>
      <c r="H18" s="2">
        <f>IFERROR(G56*사업개요!$C$23,0)</f>
        <v>19785.335501361227</v>
      </c>
      <c r="I18" s="2">
        <f>IFERROR(H56*사업개요!$C$23,0)</f>
        <v>18522.441745955191</v>
      </c>
      <c r="J18" s="2">
        <f>IFERROR(I56*사업개요!$C$23,0)</f>
        <v>18522.441745955191</v>
      </c>
      <c r="K18" s="2">
        <f>IFERROR(J56*사업개요!$C$23,0)</f>
        <v>17259.547990549156</v>
      </c>
      <c r="L18" s="2">
        <f>IFERROR(K56*사업개요!$C$23,0)</f>
        <v>17259.547990549156</v>
      </c>
      <c r="M18" s="2">
        <f>IFERROR(L56*사업개요!$C$23,0)</f>
        <v>15996.65423514312</v>
      </c>
      <c r="N18" s="2">
        <f>IFERROR(M56*사업개요!$C$23,0)</f>
        <v>15996.65423514312</v>
      </c>
      <c r="O18" s="2">
        <f>IFERROR(N56*사업개요!$C$23,0)</f>
        <v>14733.760479737084</v>
      </c>
      <c r="P18" s="2">
        <f>IFERROR(O56*사업개요!$C$23,0)</f>
        <v>14733.760479737084</v>
      </c>
      <c r="Q18" s="2">
        <f>IFERROR(P56*사업개요!$C$23,0)</f>
        <v>13470.866724331048</v>
      </c>
      <c r="R18" s="2">
        <f>IFERROR(Q56*사업개요!$C$23,0)</f>
        <v>13470.866724331048</v>
      </c>
      <c r="S18" s="2">
        <f>IFERROR(R56*사업개요!$C$23,0)</f>
        <v>12207.972968925013</v>
      </c>
      <c r="T18" s="2">
        <f>IFERROR(S56*사업개요!$C$23,0)</f>
        <v>12207.972968925013</v>
      </c>
      <c r="U18" s="2">
        <f>IFERROR(T56*사업개요!$C$23,0)</f>
        <v>10945.079213518977</v>
      </c>
      <c r="V18" s="2">
        <f>IFERROR(U56*사업개요!$C$23,0)</f>
        <v>10945.079213518977</v>
      </c>
      <c r="W18" s="2">
        <f>IFERROR(V56*사업개요!$C$23,0)</f>
        <v>9682.185458112941</v>
      </c>
      <c r="X18" s="2">
        <f>IFERROR(W56*사업개요!$C$23,0)</f>
        <v>9682.185458112941</v>
      </c>
      <c r="Y18" s="2">
        <f>IFERROR(X56*사업개요!$C$23,0)</f>
        <v>8419.2917027069034</v>
      </c>
      <c r="Z18" s="2">
        <f>IFERROR(Y56*사업개요!$C$23,0)</f>
        <v>8419.2917027069034</v>
      </c>
      <c r="AA18" s="2">
        <f>IFERROR(Z56*사업개요!$C$23,0)</f>
        <v>7156.3979473008685</v>
      </c>
      <c r="AB18" s="2">
        <f>IFERROR(AA56*사업개요!$C$23,0)</f>
        <v>7156.3979473008685</v>
      </c>
      <c r="AC18" s="2">
        <f>IFERROR(AB56*사업개요!$C$23,0)</f>
        <v>5893.5041918948327</v>
      </c>
      <c r="AD18" s="2">
        <f>IFERROR(AC56*사업개요!$C$23,0)</f>
        <v>5893.5041918948327</v>
      </c>
      <c r="AE18" s="2">
        <f>IFERROR(AD56*사업개요!$C$23,0)</f>
        <v>4630.610436488796</v>
      </c>
      <c r="AF18" s="2">
        <f>IFERROR(AE56*사업개요!$C$23,0)</f>
        <v>4630.610436488796</v>
      </c>
      <c r="AG18" s="2">
        <f>IFERROR(AF56*사업개요!$C$23,0)</f>
        <v>3367.7166810827603</v>
      </c>
    </row>
    <row r="19" spans="1:33">
      <c r="B19" s="9" t="s">
        <v>195</v>
      </c>
      <c r="C19" s="10"/>
      <c r="D19" s="2">
        <f>IFERROR((D53+D54-D55)*사업개요!$C$26,0)</f>
        <v>561.28611351379357</v>
      </c>
      <c r="E19" s="2">
        <f>IFERROR((E53+E54-E55)*사업개요!$C$26,0)</f>
        <v>561.28611351379357</v>
      </c>
      <c r="F19" s="2">
        <f>IFERROR((F53+F54-F55)*사업개요!$C$26,0)</f>
        <v>527.60894670296602</v>
      </c>
      <c r="G19" s="2">
        <f>IFERROR((G53+G54-G55)*사업개요!$C$26,0)</f>
        <v>527.60894670296602</v>
      </c>
      <c r="H19" s="2">
        <f>IFERROR((H53+H54-H55)*사업개요!$C$26,0)</f>
        <v>493.93177989213837</v>
      </c>
      <c r="I19" s="2">
        <f>IFERROR((I53+I54-I55)*사업개요!$C$26,0)</f>
        <v>493.93177989213837</v>
      </c>
      <c r="J19" s="2">
        <f>IFERROR((J53+J54-J55)*사업개요!$C$26,0)</f>
        <v>460.25461308131077</v>
      </c>
      <c r="K19" s="2">
        <f>IFERROR((K53+K54-K55)*사업개요!$C$26,0)</f>
        <v>460.25461308131077</v>
      </c>
      <c r="L19" s="2">
        <f>IFERROR((L53+L54-L55)*사업개요!$C$26,0)</f>
        <v>426.57744627048316</v>
      </c>
      <c r="M19" s="2">
        <f>IFERROR((M53+M54-M55)*사업개요!$C$26,0)</f>
        <v>426.57744627048316</v>
      </c>
      <c r="N19" s="2">
        <f>IFERROR((N53+N54-N55)*사업개요!$C$26,0)</f>
        <v>392.90027945965551</v>
      </c>
      <c r="O19" s="2">
        <f>IFERROR((O53+O54-O55)*사업개요!$C$26,0)</f>
        <v>392.90027945965551</v>
      </c>
      <c r="P19" s="2">
        <f>IFERROR((P53+P54-P55)*사업개요!$C$26,0)</f>
        <v>359.22311264882791</v>
      </c>
      <c r="Q19" s="2">
        <f>IFERROR((Q53+Q54-Q55)*사업개요!$C$26,0)</f>
        <v>359.22311264882791</v>
      </c>
      <c r="R19" s="2">
        <f>IFERROR((R53+R54-R55)*사업개요!$C$26,0)</f>
        <v>325.54594583800031</v>
      </c>
      <c r="S19" s="2">
        <f>IFERROR((S53+S54-S55)*사업개요!$C$26,0)</f>
        <v>325.54594583800031</v>
      </c>
      <c r="T19" s="2">
        <f>IFERROR((T53+T54-T55)*사업개요!$C$26,0)</f>
        <v>291.86877902717265</v>
      </c>
      <c r="U19" s="2">
        <f>IFERROR((U53+U54-U55)*사업개요!$C$26,0)</f>
        <v>291.86877902717265</v>
      </c>
      <c r="V19" s="2">
        <f>IFERROR((V53+V54-V55)*사업개요!$C$26,0)</f>
        <v>258.19161221634505</v>
      </c>
      <c r="W19" s="2">
        <f>IFERROR((W53+W54-W55)*사업개요!$C$26,0)</f>
        <v>258.19161221634505</v>
      </c>
      <c r="X19" s="2">
        <f>IFERROR((X53+X54-X55)*사업개요!$C$26,0)</f>
        <v>224.51444540551742</v>
      </c>
      <c r="Y19" s="2">
        <f>IFERROR((Y53+Y54-Y55)*사업개요!$C$26,0)</f>
        <v>224.51444540551742</v>
      </c>
      <c r="Z19" s="2">
        <f>IFERROR((Z53+Z54-Z55)*사업개요!$C$26,0)</f>
        <v>190.83727859468979</v>
      </c>
      <c r="AA19" s="2">
        <f>IFERROR((AA53+AA54-AA55)*사업개요!$C$26,0)</f>
        <v>190.83727859468979</v>
      </c>
      <c r="AB19" s="2">
        <f>IFERROR((AB53+AB54-AB55)*사업개요!$C$26,0)</f>
        <v>157.16011178386216</v>
      </c>
      <c r="AC19" s="2">
        <f>IFERROR((AC53+AC54-AC55)*사업개요!$C$26,0)</f>
        <v>157.16011178386216</v>
      </c>
      <c r="AD19" s="2">
        <f>IFERROR((AD53+AD54-AD55)*사업개요!$C$26,0)</f>
        <v>123.48294497303455</v>
      </c>
      <c r="AE19" s="2">
        <f>IFERROR((AE53+AE54-AE55)*사업개요!$C$26,0)</f>
        <v>123.48294497303455</v>
      </c>
      <c r="AF19" s="2">
        <f>IFERROR((AF53+AF54-AF55)*사업개요!$C$26,0)</f>
        <v>89.805778162206934</v>
      </c>
      <c r="AG19" s="2">
        <f>IFERROR((AG53+AG54-AG55)*사업개요!$C$26,0)</f>
        <v>3.7834979593753818E-13</v>
      </c>
    </row>
    <row r="20" spans="1:33">
      <c r="B20" s="9" t="s">
        <v>197</v>
      </c>
      <c r="C20" s="10"/>
      <c r="D20" s="2">
        <f>-MIN(D8-D7,D6)</f>
        <v>-21890.158427037957</v>
      </c>
      <c r="E20" s="2">
        <f t="shared" ref="E20:Q20" si="3">-MIN(E8-E7,E6)</f>
        <v>-10945.079213518979</v>
      </c>
      <c r="F20" s="2">
        <f t="shared" si="3"/>
        <v>-10945.079213518979</v>
      </c>
      <c r="G20" s="2">
        <f t="shared" si="3"/>
        <v>-10288.374460707839</v>
      </c>
      <c r="H20" s="2">
        <f t="shared" si="3"/>
        <v>-10288.374460707839</v>
      </c>
      <c r="I20" s="2">
        <f t="shared" si="3"/>
        <v>-9631.669707896699</v>
      </c>
      <c r="J20" s="2">
        <f t="shared" si="3"/>
        <v>-9631.669707896699</v>
      </c>
      <c r="K20" s="2">
        <f t="shared" si="3"/>
        <v>-8974.9649550855611</v>
      </c>
      <c r="L20" s="2">
        <f t="shared" si="3"/>
        <v>-8974.9649550855611</v>
      </c>
      <c r="M20" s="2">
        <f t="shared" si="3"/>
        <v>-8318.2602022744213</v>
      </c>
      <c r="N20" s="2">
        <f t="shared" si="3"/>
        <v>-8318.2602022744213</v>
      </c>
      <c r="O20" s="2">
        <f t="shared" si="3"/>
        <v>-7661.5554494632843</v>
      </c>
      <c r="P20" s="2">
        <f t="shared" si="3"/>
        <v>-7661.5554494632843</v>
      </c>
      <c r="Q20" s="2">
        <f t="shared" si="3"/>
        <v>-7004.8506966521454</v>
      </c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</row>
    <row r="22" spans="1:33">
      <c r="A22" s="20" t="s">
        <v>26</v>
      </c>
      <c r="B22" s="20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>
      <c r="B23" s="9" t="s">
        <v>14</v>
      </c>
      <c r="C23" s="10"/>
      <c r="D23" s="10">
        <f>사업개요!$O$10*사업개요!$C$3*D3</f>
        <v>715.63499999999999</v>
      </c>
      <c r="E23" s="10">
        <f>사업개요!$O$10*사업개요!$C$3*E3</f>
        <v>715.63499999999999</v>
      </c>
      <c r="F23" s="10">
        <f>사업개요!$O$10*사업개요!$C$3*F3</f>
        <v>715.63499999999999</v>
      </c>
      <c r="G23" s="10">
        <f>사업개요!$O$10*사업개요!$C$3*G3</f>
        <v>715.63499999999999</v>
      </c>
      <c r="H23" s="10">
        <f>사업개요!$O$10*사업개요!$C$3*H3</f>
        <v>715.63499999999999</v>
      </c>
      <c r="I23" s="10">
        <f>사업개요!$O$10*사업개요!$C$3*I3</f>
        <v>2783.0250000000001</v>
      </c>
      <c r="J23" s="10">
        <f>사업개요!$O$10*사업개요!$C$3*J3</f>
        <v>2783.0250000000001</v>
      </c>
      <c r="K23" s="10">
        <f>사업개요!$O$10*사업개요!$C$3*K3</f>
        <v>2783.0250000000001</v>
      </c>
      <c r="L23" s="10">
        <f>사업개요!$O$10*사업개요!$C$3*L3</f>
        <v>2783.0250000000001</v>
      </c>
      <c r="M23" s="10">
        <f>사업개요!$O$10*사업개요!$C$3*M3</f>
        <v>2783.0250000000001</v>
      </c>
      <c r="N23" s="10">
        <f>사업개요!$O$10*사업개요!$C$3*N3</f>
        <v>6758.7750000000005</v>
      </c>
      <c r="O23" s="10">
        <f>사업개요!$O$10*사업개요!$C$3*O3</f>
        <v>6758.7750000000005</v>
      </c>
      <c r="P23" s="10">
        <f>사업개요!$O$10*사업개요!$C$3*P3</f>
        <v>6758.7750000000005</v>
      </c>
      <c r="Q23" s="10">
        <f>사업개요!$O$10*사업개요!$C$3*Q3</f>
        <v>6758.7750000000005</v>
      </c>
      <c r="R23" s="10">
        <f>사업개요!$O$10*사업개요!$C$3*R3</f>
        <v>6758.7750000000005</v>
      </c>
      <c r="S23" s="10">
        <f>사업개요!$O$10*사업개요!$C$3*S3</f>
        <v>9223.74</v>
      </c>
      <c r="T23" s="10">
        <f>사업개요!$O$10*사업개요!$C$3*T3</f>
        <v>9223.74</v>
      </c>
      <c r="U23" s="10">
        <f>사업개요!$O$10*사업개요!$C$3*U3</f>
        <v>9223.74</v>
      </c>
      <c r="V23" s="10">
        <f>사업개요!$O$10*사업개요!$C$3*V3</f>
        <v>9223.74</v>
      </c>
      <c r="W23" s="10">
        <f>사업개요!$O$10*사업개요!$C$3*W3</f>
        <v>9223.74</v>
      </c>
      <c r="X23" s="10">
        <f>사업개요!$O$10*사업개요!$C$3*X3</f>
        <v>11132.1</v>
      </c>
      <c r="Y23" s="10">
        <f>사업개요!$O$10*사업개요!$C$3*Y3</f>
        <v>11132.1</v>
      </c>
      <c r="Z23" s="10">
        <f>사업개요!$O$10*사업개요!$C$3*Z3</f>
        <v>11132.1</v>
      </c>
      <c r="AA23" s="10">
        <f>사업개요!$O$10*사업개요!$C$3*AA3</f>
        <v>11132.1</v>
      </c>
      <c r="AB23" s="10">
        <f>사업개요!$O$10*사업개요!$C$3*AB3</f>
        <v>11132.1</v>
      </c>
      <c r="AC23" s="10">
        <f>사업개요!$O$10*사업개요!$C$3*AC3</f>
        <v>14153.67</v>
      </c>
      <c r="AD23" s="10">
        <f>사업개요!$O$10*사업개요!$C$3*AD3</f>
        <v>14153.67</v>
      </c>
      <c r="AE23" s="10">
        <f>사업개요!$O$10*사업개요!$C$3*AE3</f>
        <v>14153.67</v>
      </c>
      <c r="AF23" s="10">
        <f>사업개요!$O$10*사업개요!$C$3*AF3</f>
        <v>14153.67</v>
      </c>
      <c r="AG23" s="10">
        <f>사업개요!$O$10*사업개요!$C$3*AG3</f>
        <v>14153.67</v>
      </c>
    </row>
    <row r="24" spans="1:33">
      <c r="B24" s="9" t="s">
        <v>15</v>
      </c>
      <c r="C24" s="10"/>
      <c r="D24" s="10">
        <f>사업개요!$I$27*D2</f>
        <v>1920</v>
      </c>
      <c r="E24" s="10">
        <f>사업개요!$I$27*E2</f>
        <v>1948.7999999999997</v>
      </c>
      <c r="F24" s="10">
        <f>사업개요!$I$27*F2</f>
        <v>1978.0319999999995</v>
      </c>
      <c r="G24" s="10">
        <f>사업개요!$I$27*G2</f>
        <v>2007.7024799999992</v>
      </c>
      <c r="H24" s="10">
        <f>사업개요!$I$27*H2</f>
        <v>2037.8180171999988</v>
      </c>
      <c r="I24" s="10">
        <f>사업개요!$I$27*I2</f>
        <v>2068.3852874579989</v>
      </c>
      <c r="J24" s="10">
        <f>사업개요!$I$27*J2</f>
        <v>2099.4110667698683</v>
      </c>
      <c r="K24" s="10">
        <f>사업개요!$I$27*K2</f>
        <v>2130.902232771416</v>
      </c>
      <c r="L24" s="10">
        <f>사업개요!$I$27*L2</f>
        <v>2162.8657662629871</v>
      </c>
      <c r="M24" s="10">
        <f>사업개요!$I$27*M2</f>
        <v>2195.3087527569314</v>
      </c>
      <c r="N24" s="10">
        <f>사업개요!$I$27*N2</f>
        <v>2228.2383840482853</v>
      </c>
      <c r="O24" s="10">
        <f>사업개요!$I$27*O2</f>
        <v>2261.6619598090092</v>
      </c>
      <c r="P24" s="10">
        <f>사업개요!$I$27*P2</f>
        <v>2295.586889206144</v>
      </c>
      <c r="Q24" s="10">
        <f>사업개요!$I$27*Q2</f>
        <v>2330.0206925442358</v>
      </c>
      <c r="R24" s="10">
        <f>사업개요!$I$27*R2</f>
        <v>2364.9710029323987</v>
      </c>
      <c r="S24" s="10">
        <f>사업개요!$I$27*S2</f>
        <v>2400.4455679763846</v>
      </c>
      <c r="T24" s="10">
        <f>사업개요!$I$27*T2</f>
        <v>2436.4522514960299</v>
      </c>
      <c r="U24" s="10">
        <f>사업개요!$I$27*U2</f>
        <v>2472.9990352684699</v>
      </c>
      <c r="V24" s="10">
        <f>사업개요!$I$27*V2</f>
        <v>2510.0940207974968</v>
      </c>
      <c r="W24" s="10">
        <f>사업개요!$I$27*W2</f>
        <v>2547.7454311094593</v>
      </c>
      <c r="X24" s="10">
        <f>사업개요!$I$27*X2</f>
        <v>2585.9616125761004</v>
      </c>
      <c r="Y24" s="10">
        <f>사업개요!$I$27*Y2</f>
        <v>2624.7510367647415</v>
      </c>
      <c r="Z24" s="10">
        <f>사업개요!$I$27*Z2</f>
        <v>2664.122302316212</v>
      </c>
      <c r="AA24" s="10">
        <f>사업개요!$I$27*AA2</f>
        <v>2704.084136850955</v>
      </c>
      <c r="AB24" s="10">
        <f>사업개요!$I$27*AB2</f>
        <v>2744.6453989037191</v>
      </c>
      <c r="AC24" s="10">
        <f>사업개요!$I$27*AC2</f>
        <v>2785.8150798872748</v>
      </c>
      <c r="AD24" s="10">
        <f>사업개요!$I$27*AD2</f>
        <v>2827.6023060855832</v>
      </c>
      <c r="AE24" s="10">
        <f>사업개요!$I$27*AE2</f>
        <v>2870.016340676867</v>
      </c>
      <c r="AF24" s="10">
        <f>사업개요!$I$27*AF2</f>
        <v>2913.066585787019</v>
      </c>
      <c r="AG24" s="10">
        <f>사업개요!$I$27*AG2</f>
        <v>2956.7625845738244</v>
      </c>
    </row>
    <row r="25" spans="1:33">
      <c r="B25" s="9" t="s">
        <v>172</v>
      </c>
      <c r="C25" s="10"/>
      <c r="D25" s="10">
        <f>(시설개요!$BH$20*D$2)</f>
        <v>151.45051751207083</v>
      </c>
      <c r="E25" s="10">
        <f>(시설개요!$BH$20*E$2)</f>
        <v>153.72227527475187</v>
      </c>
      <c r="F25" s="10">
        <f>(시설개요!$BH$20*F$2)</f>
        <v>156.02810940387312</v>
      </c>
      <c r="G25" s="10">
        <f>(시설개요!$BH$20*G$2)</f>
        <v>158.36853104493122</v>
      </c>
      <c r="H25" s="10">
        <f>(시설개요!$BH$20*H$2)</f>
        <v>160.74405901060516</v>
      </c>
      <c r="I25" s="10">
        <f>(시설개요!$BH$20*I$2)</f>
        <v>163.15521989576422</v>
      </c>
      <c r="J25" s="10">
        <f>(시설개요!$BH$20*J$2)</f>
        <v>165.60254819420064</v>
      </c>
      <c r="K25" s="10">
        <f>(시설개요!$BH$20*K$2)</f>
        <v>168.08658641711364</v>
      </c>
      <c r="L25" s="10">
        <f>(시설개요!$BH$20*L$2)</f>
        <v>170.60788521337031</v>
      </c>
      <c r="M25" s="10">
        <f>(시설개요!$BH$20*M$2)</f>
        <v>173.16700349157085</v>
      </c>
      <c r="N25" s="10">
        <f>(시설개요!$BH$20*N$2)</f>
        <v>175.7645085439444</v>
      </c>
      <c r="O25" s="10">
        <f>(시설개요!$BH$20*O$2)</f>
        <v>178.40097617210353</v>
      </c>
      <c r="P25" s="10">
        <f>(시설개요!$BH$20*P$2)</f>
        <v>181.07699081468505</v>
      </c>
      <c r="Q25" s="10">
        <f>(시설개요!$BH$20*Q$2)</f>
        <v>183.79314567690531</v>
      </c>
      <c r="R25" s="10">
        <f>(시설개요!$BH$20*R$2)</f>
        <v>186.55004286205886</v>
      </c>
      <c r="S25" s="10">
        <f>(시설개요!$BH$20*S$2)</f>
        <v>189.3482935049897</v>
      </c>
      <c r="T25" s="10">
        <f>(시설개요!$BH$20*T$2)</f>
        <v>192.18851790756452</v>
      </c>
      <c r="U25" s="10">
        <f>(시설개요!$BH$20*U$2)</f>
        <v>195.07134567617797</v>
      </c>
      <c r="V25" s="10">
        <f>(시설개요!$BH$20*V$2)</f>
        <v>197.99741586132063</v>
      </c>
      <c r="W25" s="10">
        <f>(시설개요!$BH$20*W$2)</f>
        <v>200.96737709924042</v>
      </c>
      <c r="X25" s="10">
        <f>(시설개요!$BH$20*X$2)</f>
        <v>203.98188775572896</v>
      </c>
      <c r="Y25" s="10">
        <f>(시설개요!$BH$20*Y$2)</f>
        <v>207.04161607206487</v>
      </c>
      <c r="Z25" s="10">
        <f>(시설개요!$BH$20*Z$2)</f>
        <v>210.1472403131458</v>
      </c>
      <c r="AA25" s="10">
        <f>(시설개요!$BH$20*AA$2)</f>
        <v>213.29944891784297</v>
      </c>
      <c r="AB25" s="10">
        <f>(시설개요!$BH$20*AB$2)</f>
        <v>216.49894065161058</v>
      </c>
      <c r="AC25" s="10">
        <f>(시설개요!$BH$20*AC$2)</f>
        <v>219.74642476138473</v>
      </c>
      <c r="AD25" s="10">
        <f>(시설개요!$BH$20*AD$2)</f>
        <v>223.04262113280546</v>
      </c>
      <c r="AE25" s="10">
        <f>(시설개요!$BH$20*AE$2)</f>
        <v>226.38826044979754</v>
      </c>
      <c r="AF25" s="10">
        <f>(시설개요!$BH$20*AF$2)</f>
        <v>229.78408435654444</v>
      </c>
      <c r="AG25" s="10">
        <f>(시설개요!$BH$20*AG$2)</f>
        <v>233.2308456218926</v>
      </c>
    </row>
    <row r="26" spans="1:33">
      <c r="B26" s="9" t="s">
        <v>173</v>
      </c>
      <c r="C26" s="10"/>
      <c r="D26" s="3">
        <f>시설개요!$AA$25*D2</f>
        <v>187.35398136000003</v>
      </c>
      <c r="E26" s="3">
        <f>시설개요!$AA$25*E2</f>
        <v>190.16429108040001</v>
      </c>
      <c r="F26" s="3">
        <f>시설개요!$AA$25*F2</f>
        <v>193.01675544660597</v>
      </c>
      <c r="G26" s="3">
        <f>시설개요!$AA$25*G2</f>
        <v>195.91200677830506</v>
      </c>
      <c r="H26" s="3">
        <f>시설개요!$AA$25*H2</f>
        <v>198.85068687997961</v>
      </c>
      <c r="I26" s="3">
        <f>시설개요!$AA$25*I2</f>
        <v>201.83344718317926</v>
      </c>
      <c r="J26" s="3">
        <f>시설개요!$AA$25*J2</f>
        <v>204.86094889092692</v>
      </c>
      <c r="K26" s="3">
        <f>시설개요!$AA$25*K2</f>
        <v>207.93386312429078</v>
      </c>
      <c r="L26" s="3">
        <f>시설개요!$AA$25*L2</f>
        <v>211.05287107115512</v>
      </c>
      <c r="M26" s="3">
        <f>시설개요!$AA$25*M2</f>
        <v>214.21866413722242</v>
      </c>
      <c r="N26" s="3">
        <f>시설개요!$AA$25*N2</f>
        <v>217.43194409928074</v>
      </c>
      <c r="O26" s="3">
        <f>시설개요!$AA$25*O2</f>
        <v>220.69342326076992</v>
      </c>
      <c r="P26" s="3">
        <f>시설개요!$AA$25*P2</f>
        <v>224.00382460968143</v>
      </c>
      <c r="Q26" s="3">
        <f>시설개요!$AA$25*Q2</f>
        <v>227.36388197882664</v>
      </c>
      <c r="R26" s="3">
        <f>시설개요!$AA$25*R2</f>
        <v>230.77434020850899</v>
      </c>
      <c r="S26" s="3">
        <f>시설개요!$AA$25*S2</f>
        <v>234.23595531163659</v>
      </c>
      <c r="T26" s="3">
        <f>시설개요!$AA$25*T2</f>
        <v>237.74949464131109</v>
      </c>
      <c r="U26" s="3">
        <f>시설개요!$AA$25*U2</f>
        <v>241.31573706093073</v>
      </c>
      <c r="V26" s="3">
        <f>시설개요!$AA$25*V2</f>
        <v>244.93547311684466</v>
      </c>
      <c r="W26" s="3">
        <f>시설개요!$AA$25*W2</f>
        <v>248.60950521359732</v>
      </c>
      <c r="X26" s="3">
        <f>시설개요!$AA$25*X2</f>
        <v>252.33864779180121</v>
      </c>
      <c r="Y26" s="3">
        <f>시설개요!$AA$25*Y2</f>
        <v>256.1237275086782</v>
      </c>
      <c r="Z26" s="3">
        <f>시설개요!$AA$25*Z2</f>
        <v>259.96558342130834</v>
      </c>
      <c r="AA26" s="3">
        <f>시설개요!$AA$25*AA2</f>
        <v>263.8650671726279</v>
      </c>
      <c r="AB26" s="3">
        <f>시설개요!$AA$25*AB2</f>
        <v>267.82304318021733</v>
      </c>
      <c r="AC26" s="3">
        <f>시설개요!$AA$25*AC2</f>
        <v>271.84038882792055</v>
      </c>
      <c r="AD26" s="3">
        <f>시설개요!$AA$25*AD2</f>
        <v>275.91799466033933</v>
      </c>
      <c r="AE26" s="3">
        <f>시설개요!$AA$25*AE2</f>
        <v>280.05676458024436</v>
      </c>
      <c r="AF26" s="3">
        <f>시설개요!$AA$25*AF2</f>
        <v>284.25761604894797</v>
      </c>
      <c r="AG26" s="3">
        <f>시설개요!$AA$25*AG2</f>
        <v>288.52148028968219</v>
      </c>
    </row>
    <row r="27" spans="1:33">
      <c r="B27" s="9" t="s">
        <v>17</v>
      </c>
      <c r="C27" s="10"/>
      <c r="D27" s="7">
        <f>사업개요!$I$28*D2</f>
        <v>10416</v>
      </c>
      <c r="E27" s="7">
        <f>사업개요!$I$28*E2</f>
        <v>10572.24</v>
      </c>
      <c r="F27" s="7">
        <f>사업개요!$I$28*F2</f>
        <v>10730.823599999998</v>
      </c>
      <c r="G27" s="7">
        <f>사업개요!$I$28*G2</f>
        <v>10891.785953999995</v>
      </c>
      <c r="H27" s="7">
        <f>사업개요!$I$28*H2</f>
        <v>11055.162743309995</v>
      </c>
      <c r="I27" s="7">
        <f>사업개요!$I$28*I2</f>
        <v>11220.990184459642</v>
      </c>
      <c r="J27" s="7">
        <f>사업개요!$I$28*J2</f>
        <v>11389.305037226535</v>
      </c>
      <c r="K27" s="7">
        <f>사업개요!$I$28*K2</f>
        <v>11560.14461278493</v>
      </c>
      <c r="L27" s="7">
        <f>사업개요!$I$28*L2</f>
        <v>11733.546781976704</v>
      </c>
      <c r="M27" s="7">
        <f>사업개요!$I$28*M2</f>
        <v>11909.549983706353</v>
      </c>
      <c r="N27" s="7">
        <f>사업개요!$I$28*N2</f>
        <v>12088.193233461947</v>
      </c>
      <c r="O27" s="7">
        <f>사업개요!$I$28*O2</f>
        <v>12269.516131963876</v>
      </c>
      <c r="P27" s="7">
        <f>사업개요!$I$28*P2</f>
        <v>12453.55887394333</v>
      </c>
      <c r="Q27" s="7">
        <f>사업개요!$I$28*Q2</f>
        <v>12640.36225705248</v>
      </c>
      <c r="R27" s="7">
        <f>사업개요!$I$28*R2</f>
        <v>12829.967690908263</v>
      </c>
      <c r="S27" s="7">
        <f>사업개요!$I$28*S2</f>
        <v>13022.417206271886</v>
      </c>
      <c r="T27" s="7">
        <f>사업개요!$I$28*T2</f>
        <v>13217.753464365962</v>
      </c>
      <c r="U27" s="7">
        <f>사업개요!$I$28*U2</f>
        <v>13416.01976633145</v>
      </c>
      <c r="V27" s="7">
        <f>사업개요!$I$28*V2</f>
        <v>13617.260062826421</v>
      </c>
      <c r="W27" s="7">
        <f>사업개요!$I$28*W2</f>
        <v>13821.518963768816</v>
      </c>
      <c r="X27" s="7">
        <f>사업개요!$I$28*X2</f>
        <v>14028.841748225344</v>
      </c>
      <c r="Y27" s="7">
        <f>사업개요!$I$28*Y2</f>
        <v>14239.274374448723</v>
      </c>
      <c r="Z27" s="7">
        <f>사업개요!$I$28*Z2</f>
        <v>14452.863490065451</v>
      </c>
      <c r="AA27" s="7">
        <f>사업개요!$I$28*AA2</f>
        <v>14669.656442416432</v>
      </c>
      <c r="AB27" s="7">
        <f>사업개요!$I$28*AB2</f>
        <v>14889.701289052675</v>
      </c>
      <c r="AC27" s="7">
        <f>사업개요!$I$28*AC2</f>
        <v>15113.046808388464</v>
      </c>
      <c r="AD27" s="7">
        <f>사업개요!$I$28*AD2</f>
        <v>15339.74251051429</v>
      </c>
      <c r="AE27" s="7">
        <f>사업개요!$I$28*AE2</f>
        <v>15569.838648172003</v>
      </c>
      <c r="AF27" s="7">
        <f>사업개요!$I$28*AF2</f>
        <v>15803.386227894578</v>
      </c>
      <c r="AG27" s="7">
        <f>사업개요!$I$28*AG2</f>
        <v>16040.437021312997</v>
      </c>
    </row>
    <row r="29" spans="1:33">
      <c r="A29" s="110" t="s">
        <v>21</v>
      </c>
      <c r="B29" s="111"/>
      <c r="C29" s="112"/>
      <c r="D29" s="112">
        <f t="shared" ref="D29:AG29" si="4">SUM(D11:D13)-SUM(D17:D27)</f>
        <v>-3639.9548188824701</v>
      </c>
      <c r="E29" s="112">
        <f t="shared" ca="1" si="4"/>
        <v>6935.0383847685007</v>
      </c>
      <c r="F29" s="112">
        <f t="shared" ca="1" si="4"/>
        <v>9130.7679713836114</v>
      </c>
      <c r="G29" s="112">
        <f t="shared" ca="1" si="4"/>
        <v>9267.6363820860133</v>
      </c>
      <c r="H29" s="112">
        <f t="shared" ca="1" si="4"/>
        <v>11534.321775965604</v>
      </c>
      <c r="I29" s="112">
        <f t="shared" ca="1" si="4"/>
        <v>9568.3850929418113</v>
      </c>
      <c r="J29" s="112">
        <f t="shared" ca="1" si="4"/>
        <v>11908.460926869921</v>
      </c>
      <c r="K29" s="112">
        <f t="shared" ca="1" si="4"/>
        <v>12004.872669221222</v>
      </c>
      <c r="L29" s="112">
        <f t="shared" ca="1" si="4"/>
        <v>14420.86193904141</v>
      </c>
      <c r="M29" s="112">
        <f t="shared" ca="1" si="4"/>
        <v>14495.697824197363</v>
      </c>
      <c r="N29" s="112">
        <f t="shared" ca="1" si="4"/>
        <v>12984.421855817098</v>
      </c>
      <c r="O29" s="112">
        <f t="shared" ca="1" si="4"/>
        <v>13048.982148960422</v>
      </c>
      <c r="P29" s="112">
        <f t="shared" ca="1" si="4"/>
        <v>15624.737960673359</v>
      </c>
      <c r="Q29" s="112">
        <f t="shared" ca="1" si="4"/>
        <v>15751.989197786796</v>
      </c>
      <c r="R29" s="112">
        <f t="shared" ca="1" si="4"/>
        <v>11354.008423604871</v>
      </c>
      <c r="S29" s="112">
        <f t="shared" ca="1" si="4"/>
        <v>9652.4125124423299</v>
      </c>
      <c r="T29" s="112">
        <f t="shared" ca="1" si="4"/>
        <v>12399.175373884573</v>
      </c>
      <c r="U29" s="112">
        <f t="shared" ca="1" si="4"/>
        <v>13174.039704764844</v>
      </c>
      <c r="V29" s="112">
        <f t="shared" ca="1" si="4"/>
        <v>16010.781116129205</v>
      </c>
      <c r="W29" s="112">
        <f t="shared" ca="1" si="4"/>
        <v>16778.298193948634</v>
      </c>
      <c r="X29" s="112">
        <f t="shared" ca="1" si="4"/>
        <v>17785.367401588534</v>
      </c>
      <c r="Y29" s="112">
        <f t="shared" ca="1" si="4"/>
        <v>18545.315155623408</v>
      </c>
      <c r="Z29" s="112">
        <f t="shared" ca="1" si="4"/>
        <v>21571.51944776671</v>
      </c>
      <c r="AA29" s="112">
        <f t="shared" ca="1" si="4"/>
        <v>22323.669095205594</v>
      </c>
      <c r="AB29" s="112">
        <f t="shared" ca="1" si="4"/>
        <v>25449.593207043072</v>
      </c>
      <c r="AC29" s="112">
        <f t="shared" ca="1" si="4"/>
        <v>23149.30602744408</v>
      </c>
      <c r="AD29" s="112">
        <f t="shared" ca="1" si="4"/>
        <v>26378.440300760718</v>
      </c>
      <c r="AE29" s="112">
        <f t="shared" ca="1" si="4"/>
        <v>27114.2795177269</v>
      </c>
      <c r="AF29" s="112">
        <f t="shared" ca="1" si="4"/>
        <v>30450.24397713806</v>
      </c>
      <c r="AG29" s="113">
        <f t="shared" ca="1" si="4"/>
        <v>41283.9900512194</v>
      </c>
    </row>
    <row r="31" spans="1:33" s="159" customFormat="1">
      <c r="A31" s="159" t="s">
        <v>183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</row>
    <row r="32" spans="1:33">
      <c r="B32" s="9" t="s">
        <v>7</v>
      </c>
      <c r="C32" s="10"/>
      <c r="D32" s="2">
        <f>C34</f>
        <v>0</v>
      </c>
      <c r="E32" s="2">
        <f>D34</f>
        <v>813269.92</v>
      </c>
      <c r="F32" s="2">
        <f t="shared" ref="F32:AG32" si="5">E34</f>
        <v>813269.92</v>
      </c>
      <c r="G32" s="2">
        <f t="shared" si="5"/>
        <v>853933.41600000008</v>
      </c>
      <c r="H32" s="2">
        <f t="shared" si="5"/>
        <v>853933.41600000008</v>
      </c>
      <c r="I32" s="2">
        <f t="shared" si="5"/>
        <v>896630.08680000005</v>
      </c>
      <c r="J32" s="2">
        <f t="shared" si="5"/>
        <v>896630.08680000005</v>
      </c>
      <c r="K32" s="2">
        <f t="shared" si="5"/>
        <v>941461.59114000003</v>
      </c>
      <c r="L32" s="2">
        <f t="shared" si="5"/>
        <v>941461.59114000003</v>
      </c>
      <c r="M32" s="2">
        <f t="shared" si="5"/>
        <v>988534.67069699999</v>
      </c>
      <c r="N32" s="2">
        <f t="shared" si="5"/>
        <v>988534.67069699999</v>
      </c>
      <c r="O32" s="2">
        <f t="shared" si="5"/>
        <v>1037961.4042318501</v>
      </c>
      <c r="P32" s="2">
        <f t="shared" si="5"/>
        <v>1037961.4042318501</v>
      </c>
      <c r="Q32" s="2">
        <f t="shared" si="5"/>
        <v>1089859.4744434427</v>
      </c>
      <c r="R32" s="2">
        <f t="shared" si="5"/>
        <v>1089859.4744434427</v>
      </c>
      <c r="S32" s="2">
        <f t="shared" si="5"/>
        <v>1144352.4481656149</v>
      </c>
      <c r="T32" s="2">
        <f t="shared" si="5"/>
        <v>1144352.4481656149</v>
      </c>
      <c r="U32" s="2">
        <f t="shared" si="5"/>
        <v>1201570.0705738957</v>
      </c>
      <c r="V32" s="2">
        <f t="shared" si="5"/>
        <v>1201570.0705738957</v>
      </c>
      <c r="W32" s="2">
        <f t="shared" si="5"/>
        <v>1261648.5741025906</v>
      </c>
      <c r="X32" s="2">
        <f t="shared" si="5"/>
        <v>1261648.5741025906</v>
      </c>
      <c r="Y32" s="2">
        <f t="shared" si="5"/>
        <v>1324731.0028077201</v>
      </c>
      <c r="Z32" s="2">
        <f t="shared" si="5"/>
        <v>1324731.0028077201</v>
      </c>
      <c r="AA32" s="2">
        <f t="shared" si="5"/>
        <v>1390967.5529481061</v>
      </c>
      <c r="AB32" s="2">
        <f t="shared" si="5"/>
        <v>1390967.5529481061</v>
      </c>
      <c r="AC32" s="2">
        <f t="shared" si="5"/>
        <v>1460515.9305955113</v>
      </c>
      <c r="AD32" s="2">
        <f t="shared" si="5"/>
        <v>1460515.9305955113</v>
      </c>
      <c r="AE32" s="2">
        <f t="shared" si="5"/>
        <v>1533541.7271252868</v>
      </c>
      <c r="AF32" s="2">
        <f t="shared" si="5"/>
        <v>1533541.7271252868</v>
      </c>
      <c r="AG32" s="2">
        <f t="shared" si="5"/>
        <v>1610218.8134815511</v>
      </c>
    </row>
    <row r="33" spans="1:33">
      <c r="B33" s="9" t="s">
        <v>9</v>
      </c>
      <c r="C33" s="10"/>
      <c r="D33" s="2">
        <f>(사업개요!$I$21+사업개요!O18)*(1-사업개요!$I$23)</f>
        <v>813269.92</v>
      </c>
      <c r="E33" s="2">
        <f>(E4-D4)*E32*사업개요!$I$23</f>
        <v>0</v>
      </c>
      <c r="F33" s="2">
        <f>(F4-E4)*F32*사업개요!$I$23</f>
        <v>40663.496000000006</v>
      </c>
      <c r="G33" s="2">
        <f>(G4-F4)*G32*사업개요!$I$23</f>
        <v>0</v>
      </c>
      <c r="H33" s="2">
        <f>(H4-G4)*H32*사업개요!$I$23</f>
        <v>42696.670800000007</v>
      </c>
      <c r="I33" s="2">
        <f>(I4-H4)*I32*사업개요!$I$23</f>
        <v>0</v>
      </c>
      <c r="J33" s="2">
        <f>(J4-I4)*J32*사업개요!$I$23</f>
        <v>44831.504340000007</v>
      </c>
      <c r="K33" s="2">
        <f>(K4-J4)*K32*사업개요!$I$23</f>
        <v>0</v>
      </c>
      <c r="L33" s="2">
        <f>(L4-K4)*L32*사업개요!$I$23</f>
        <v>47073.079557000005</v>
      </c>
      <c r="M33" s="2">
        <f>(M4-L4)*M32*사업개요!$I$23</f>
        <v>0</v>
      </c>
      <c r="N33" s="2">
        <f>(N4-M4)*N32*사업개요!$I$23</f>
        <v>49426.733534850006</v>
      </c>
      <c r="O33" s="2">
        <f>(O4-N4)*O32*사업개요!$I$23</f>
        <v>0</v>
      </c>
      <c r="P33" s="2">
        <f>(P4-O4)*P32*사업개요!$I$23</f>
        <v>51898.070211592509</v>
      </c>
      <c r="Q33" s="2">
        <f>(Q4-P4)*Q32*사업개요!$I$23</f>
        <v>0</v>
      </c>
      <c r="R33" s="2">
        <f>(R4-Q4)*R32*사업개요!$I$23</f>
        <v>54492.973722172137</v>
      </c>
      <c r="S33" s="2">
        <f>(S4-R4)*S32*사업개요!$I$23</f>
        <v>0</v>
      </c>
      <c r="T33" s="2">
        <f>(T4-S4)*T32*사업개요!$I$23</f>
        <v>57217.622408280746</v>
      </c>
      <c r="U33" s="2">
        <f>(U4-T4)*U32*사업개요!$I$23</f>
        <v>0</v>
      </c>
      <c r="V33" s="2">
        <f>(V4-U4)*V32*사업개요!$I$23</f>
        <v>60078.50352869479</v>
      </c>
      <c r="W33" s="2">
        <f>(W4-V4)*W32*사업개요!$I$23</f>
        <v>0</v>
      </c>
      <c r="X33" s="2">
        <f>(X4-W4)*X32*사업개요!$I$23</f>
        <v>63082.428705129532</v>
      </c>
      <c r="Y33" s="2">
        <f>(Y4-X4)*Y32*사업개요!$I$23</f>
        <v>0</v>
      </c>
      <c r="Z33" s="2">
        <f>(Z4-Y4)*Z32*사업개요!$I$23</f>
        <v>66236.550140386011</v>
      </c>
      <c r="AA33" s="2">
        <f>(AA4-Z4)*AA32*사업개요!$I$23</f>
        <v>0</v>
      </c>
      <c r="AB33" s="2">
        <f>(AB4-AA4)*AB32*사업개요!$I$23</f>
        <v>69548.377647405301</v>
      </c>
      <c r="AC33" s="2">
        <f>(AC4-AB4)*AC32*사업개요!$I$23</f>
        <v>0</v>
      </c>
      <c r="AD33" s="2">
        <f>(AD4-AC4)*AD32*사업개요!$I$23</f>
        <v>73025.796529775573</v>
      </c>
      <c r="AE33" s="2">
        <f>(AE4-AD4)*AE32*사업개요!$I$23</f>
        <v>0</v>
      </c>
      <c r="AF33" s="2">
        <f>(AF4-AE4)*AF32*사업개요!$I$23</f>
        <v>76677.08635626435</v>
      </c>
      <c r="AG33" s="2">
        <f>(AG4-AF4)*AG32*사업개요!$I$23</f>
        <v>0</v>
      </c>
    </row>
    <row r="34" spans="1:33">
      <c r="B34" s="9" t="s">
        <v>8</v>
      </c>
      <c r="C34" s="2"/>
      <c r="D34" s="2">
        <f>D32+D33</f>
        <v>813269.92</v>
      </c>
      <c r="E34" s="2">
        <f t="shared" ref="E34:AG34" si="6">E32+E33</f>
        <v>813269.92</v>
      </c>
      <c r="F34" s="2">
        <f t="shared" si="6"/>
        <v>853933.41600000008</v>
      </c>
      <c r="G34" s="2">
        <f t="shared" si="6"/>
        <v>853933.41600000008</v>
      </c>
      <c r="H34" s="2">
        <f t="shared" si="6"/>
        <v>896630.08680000005</v>
      </c>
      <c r="I34" s="2">
        <f t="shared" si="6"/>
        <v>896630.08680000005</v>
      </c>
      <c r="J34" s="2">
        <f t="shared" si="6"/>
        <v>941461.59114000003</v>
      </c>
      <c r="K34" s="2">
        <f t="shared" si="6"/>
        <v>941461.59114000003</v>
      </c>
      <c r="L34" s="2">
        <f t="shared" si="6"/>
        <v>988534.67069699999</v>
      </c>
      <c r="M34" s="2">
        <f t="shared" si="6"/>
        <v>988534.67069699999</v>
      </c>
      <c r="N34" s="2">
        <f t="shared" si="6"/>
        <v>1037961.4042318501</v>
      </c>
      <c r="O34" s="2">
        <f t="shared" si="6"/>
        <v>1037961.4042318501</v>
      </c>
      <c r="P34" s="2">
        <f t="shared" si="6"/>
        <v>1089859.4744434427</v>
      </c>
      <c r="Q34" s="2">
        <f t="shared" si="6"/>
        <v>1089859.4744434427</v>
      </c>
      <c r="R34" s="2">
        <f t="shared" si="6"/>
        <v>1144352.4481656149</v>
      </c>
      <c r="S34" s="2">
        <f t="shared" si="6"/>
        <v>1144352.4481656149</v>
      </c>
      <c r="T34" s="2">
        <f t="shared" si="6"/>
        <v>1201570.0705738957</v>
      </c>
      <c r="U34" s="2">
        <f t="shared" si="6"/>
        <v>1201570.0705738957</v>
      </c>
      <c r="V34" s="2">
        <f t="shared" si="6"/>
        <v>1261648.5741025906</v>
      </c>
      <c r="W34" s="2">
        <f t="shared" si="6"/>
        <v>1261648.5741025906</v>
      </c>
      <c r="X34" s="2">
        <f t="shared" si="6"/>
        <v>1324731.0028077201</v>
      </c>
      <c r="Y34" s="2">
        <f t="shared" si="6"/>
        <v>1324731.0028077201</v>
      </c>
      <c r="Z34" s="2">
        <f t="shared" si="6"/>
        <v>1390967.5529481061</v>
      </c>
      <c r="AA34" s="2">
        <f t="shared" si="6"/>
        <v>1390967.5529481061</v>
      </c>
      <c r="AB34" s="2">
        <f t="shared" si="6"/>
        <v>1460515.9305955113</v>
      </c>
      <c r="AC34" s="2">
        <f t="shared" si="6"/>
        <v>1460515.9305955113</v>
      </c>
      <c r="AD34" s="2">
        <f t="shared" si="6"/>
        <v>1533541.7271252868</v>
      </c>
      <c r="AE34" s="2">
        <f t="shared" si="6"/>
        <v>1533541.7271252868</v>
      </c>
      <c r="AF34" s="2">
        <f t="shared" si="6"/>
        <v>1610218.8134815511</v>
      </c>
      <c r="AG34" s="2">
        <f t="shared" si="6"/>
        <v>1610218.8134815511</v>
      </c>
    </row>
    <row r="35" spans="1:33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59" customFormat="1">
      <c r="A36" s="159" t="s">
        <v>184</v>
      </c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</row>
    <row r="37" spans="1:33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>
        <f>사업개요!$O$8</f>
        <v>1325443.9484999999</v>
      </c>
    </row>
    <row r="38" spans="1:33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>
      <c r="A39" s="22" t="s">
        <v>22</v>
      </c>
      <c r="B39" s="22"/>
      <c r="C39" s="23"/>
      <c r="D39" s="23">
        <f>D29+D33+D37</f>
        <v>809629.96518111753</v>
      </c>
      <c r="E39" s="23">
        <f t="shared" ref="E39:AF39" ca="1" si="7">E29+E33+E37</f>
        <v>6935.0383847685007</v>
      </c>
      <c r="F39" s="23">
        <f t="shared" ca="1" si="7"/>
        <v>49794.263971383618</v>
      </c>
      <c r="G39" s="23">
        <f t="shared" ca="1" si="7"/>
        <v>9267.6363820860133</v>
      </c>
      <c r="H39" s="23">
        <f t="shared" ca="1" si="7"/>
        <v>54230.992575965611</v>
      </c>
      <c r="I39" s="23">
        <f t="shared" ca="1" si="7"/>
        <v>9568.3850929418113</v>
      </c>
      <c r="J39" s="23">
        <f t="shared" ca="1" si="7"/>
        <v>56739.965266869927</v>
      </c>
      <c r="K39" s="23">
        <f t="shared" ca="1" si="7"/>
        <v>12004.872669221222</v>
      </c>
      <c r="L39" s="23">
        <f t="shared" ca="1" si="7"/>
        <v>61493.941496041414</v>
      </c>
      <c r="M39" s="23">
        <f t="shared" ca="1" si="7"/>
        <v>14495.697824197363</v>
      </c>
      <c r="N39" s="23">
        <f t="shared" ca="1" si="7"/>
        <v>62411.155390667103</v>
      </c>
      <c r="O39" s="23">
        <f t="shared" ca="1" si="7"/>
        <v>13048.982148960422</v>
      </c>
      <c r="P39" s="23">
        <f t="shared" ca="1" si="7"/>
        <v>67522.808172265868</v>
      </c>
      <c r="Q39" s="23">
        <f t="shared" ca="1" si="7"/>
        <v>15751.989197786796</v>
      </c>
      <c r="R39" s="23">
        <f t="shared" ca="1" si="7"/>
        <v>65846.982145777001</v>
      </c>
      <c r="S39" s="23">
        <f t="shared" ca="1" si="7"/>
        <v>9652.4125124423299</v>
      </c>
      <c r="T39" s="23">
        <f t="shared" ca="1" si="7"/>
        <v>69616.797782165318</v>
      </c>
      <c r="U39" s="23">
        <f t="shared" ca="1" si="7"/>
        <v>13174.039704764844</v>
      </c>
      <c r="V39" s="23">
        <f t="shared" ca="1" si="7"/>
        <v>76089.284644823987</v>
      </c>
      <c r="W39" s="23">
        <f t="shared" ca="1" si="7"/>
        <v>16778.298193948634</v>
      </c>
      <c r="X39" s="23">
        <f t="shared" ca="1" si="7"/>
        <v>80867.796106718073</v>
      </c>
      <c r="Y39" s="23">
        <f t="shared" ca="1" si="7"/>
        <v>18545.315155623408</v>
      </c>
      <c r="Z39" s="23">
        <f t="shared" ca="1" si="7"/>
        <v>87808.069588152721</v>
      </c>
      <c r="AA39" s="23">
        <f t="shared" ca="1" si="7"/>
        <v>22323.669095205594</v>
      </c>
      <c r="AB39" s="23">
        <f t="shared" ca="1" si="7"/>
        <v>94997.970854448373</v>
      </c>
      <c r="AC39" s="23">
        <f t="shared" ca="1" si="7"/>
        <v>23149.30602744408</v>
      </c>
      <c r="AD39" s="23">
        <f t="shared" ca="1" si="7"/>
        <v>99404.236830536291</v>
      </c>
      <c r="AE39" s="23">
        <f t="shared" ca="1" si="7"/>
        <v>27114.2795177269</v>
      </c>
      <c r="AF39" s="23">
        <f t="shared" ca="1" si="7"/>
        <v>107127.33033340241</v>
      </c>
      <c r="AG39" s="23">
        <f ca="1">AG29+AG33+AG37</f>
        <v>1366727.9385512194</v>
      </c>
    </row>
    <row r="40" spans="1:33" s="81" customFormat="1">
      <c r="A40" s="81" t="s">
        <v>174</v>
      </c>
      <c r="D40" s="162">
        <f t="shared" ref="D40:AG40" si="8">D34*10%</f>
        <v>81326.992000000013</v>
      </c>
      <c r="E40" s="162">
        <f t="shared" si="8"/>
        <v>81326.992000000013</v>
      </c>
      <c r="F40" s="162">
        <f t="shared" si="8"/>
        <v>85393.341600000014</v>
      </c>
      <c r="G40" s="162">
        <f t="shared" si="8"/>
        <v>85393.341600000014</v>
      </c>
      <c r="H40" s="162">
        <f t="shared" si="8"/>
        <v>89663.008680000014</v>
      </c>
      <c r="I40" s="162">
        <f t="shared" si="8"/>
        <v>89663.008680000014</v>
      </c>
      <c r="J40" s="162">
        <f t="shared" si="8"/>
        <v>94146.159114000009</v>
      </c>
      <c r="K40" s="162">
        <f t="shared" si="8"/>
        <v>94146.159114000009</v>
      </c>
      <c r="L40" s="162">
        <f t="shared" si="8"/>
        <v>98853.467069700011</v>
      </c>
      <c r="M40" s="162">
        <f t="shared" si="8"/>
        <v>98853.467069700011</v>
      </c>
      <c r="N40" s="162">
        <f t="shared" si="8"/>
        <v>103796.14042318502</v>
      </c>
      <c r="O40" s="162">
        <f t="shared" si="8"/>
        <v>103796.14042318502</v>
      </c>
      <c r="P40" s="162">
        <f t="shared" si="8"/>
        <v>108985.94744434427</v>
      </c>
      <c r="Q40" s="162">
        <f t="shared" si="8"/>
        <v>108985.94744434427</v>
      </c>
      <c r="R40" s="162">
        <f t="shared" si="8"/>
        <v>114435.24481656149</v>
      </c>
      <c r="S40" s="162">
        <f t="shared" si="8"/>
        <v>114435.24481656149</v>
      </c>
      <c r="T40" s="162">
        <f t="shared" si="8"/>
        <v>120157.00705738958</v>
      </c>
      <c r="U40" s="162">
        <f t="shared" si="8"/>
        <v>120157.00705738958</v>
      </c>
      <c r="V40" s="162">
        <f t="shared" si="8"/>
        <v>126164.85741025906</v>
      </c>
      <c r="W40" s="162">
        <f t="shared" si="8"/>
        <v>126164.85741025906</v>
      </c>
      <c r="X40" s="162">
        <f t="shared" si="8"/>
        <v>132473.10028077202</v>
      </c>
      <c r="Y40" s="162">
        <f t="shared" si="8"/>
        <v>132473.10028077202</v>
      </c>
      <c r="Z40" s="162">
        <f t="shared" si="8"/>
        <v>139096.7552948106</v>
      </c>
      <c r="AA40" s="162">
        <f t="shared" si="8"/>
        <v>139096.7552948106</v>
      </c>
      <c r="AB40" s="162">
        <f t="shared" si="8"/>
        <v>146051.59305955115</v>
      </c>
      <c r="AC40" s="162">
        <f t="shared" si="8"/>
        <v>146051.59305955115</v>
      </c>
      <c r="AD40" s="162">
        <f t="shared" si="8"/>
        <v>153354.1727125287</v>
      </c>
      <c r="AE40" s="162">
        <f t="shared" si="8"/>
        <v>153354.1727125287</v>
      </c>
      <c r="AF40" s="162">
        <f t="shared" si="8"/>
        <v>161021.88134815512</v>
      </c>
      <c r="AG40" s="162">
        <f t="shared" si="8"/>
        <v>161021.88134815512</v>
      </c>
    </row>
    <row r="41" spans="1:33" s="81" customFormat="1">
      <c r="A41" s="81" t="s">
        <v>177</v>
      </c>
      <c r="C41" s="163"/>
      <c r="D41" s="163">
        <f t="shared" ref="D41:AG41" si="9">MAX(C49+D39-D40,0)</f>
        <v>728302.97318111756</v>
      </c>
      <c r="E41" s="163">
        <f t="shared" ca="1" si="9"/>
        <v>6935.038384768457</v>
      </c>
      <c r="F41" s="163">
        <f t="shared" ca="1" si="9"/>
        <v>45727.914371383609</v>
      </c>
      <c r="G41" s="163">
        <f t="shared" ca="1" si="9"/>
        <v>9267.6363820860133</v>
      </c>
      <c r="H41" s="163">
        <f t="shared" ca="1" si="9"/>
        <v>49961.325495965619</v>
      </c>
      <c r="I41" s="163">
        <f t="shared" ca="1" si="9"/>
        <v>9568.3850929418113</v>
      </c>
      <c r="J41" s="163">
        <f t="shared" ca="1" si="9"/>
        <v>52256.814832869946</v>
      </c>
      <c r="K41" s="163">
        <f t="shared" ca="1" si="9"/>
        <v>12004.872669221222</v>
      </c>
      <c r="L41" s="163">
        <f t="shared" ca="1" si="9"/>
        <v>56786.633540341398</v>
      </c>
      <c r="M41" s="163">
        <f t="shared" ca="1" si="9"/>
        <v>14495.697824197356</v>
      </c>
      <c r="N41" s="163">
        <f t="shared" ca="1" si="9"/>
        <v>57468.482037182082</v>
      </c>
      <c r="O41" s="163">
        <f t="shared" ca="1" si="9"/>
        <v>14670.576917281156</v>
      </c>
      <c r="P41" s="163">
        <f t="shared" ca="1" si="9"/>
        <v>63954.595919427069</v>
      </c>
      <c r="Q41" s="163">
        <f t="shared" ca="1" si="9"/>
        <v>30404.680345713292</v>
      </c>
      <c r="R41" s="163">
        <f t="shared" ca="1" si="9"/>
        <v>75050.375921486178</v>
      </c>
      <c r="S41" s="163">
        <f t="shared" ca="1" si="9"/>
        <v>39671.613199496118</v>
      </c>
      <c r="T41" s="163">
        <f t="shared" ca="1" si="9"/>
        <v>93914.236228391019</v>
      </c>
      <c r="U41" s="163">
        <f t="shared" ca="1" si="9"/>
        <v>61011.933748443626</v>
      </c>
      <c r="V41" s="163">
        <f t="shared" ca="1" si="9"/>
        <v>117919.32833563317</v>
      </c>
      <c r="W41" s="163">
        <f t="shared" ca="1" si="9"/>
        <v>85009.678602625281</v>
      </c>
      <c r="X41" s="163">
        <f t="shared" ca="1" si="9"/>
        <v>142790.93364488182</v>
      </c>
      <c r="Y41" s="163">
        <f t="shared" ca="1" si="9"/>
        <v>109873.71458808891</v>
      </c>
      <c r="Z41" s="163">
        <f t="shared" ca="1" si="9"/>
        <v>172512.81400657984</v>
      </c>
      <c r="AA41" s="163">
        <f t="shared" ca="1" si="9"/>
        <v>139587.79684319111</v>
      </c>
      <c r="AB41" s="163">
        <f t="shared" ca="1" si="9"/>
        <v>205307.26083769335</v>
      </c>
      <c r="AC41" s="163">
        <f t="shared" ca="1" si="9"/>
        <v>169329.80684726645</v>
      </c>
      <c r="AD41" s="163">
        <f t="shared" ca="1" si="9"/>
        <v>238282.15799738109</v>
      </c>
      <c r="AE41" s="163">
        <f t="shared" ca="1" si="9"/>
        <v>205340.83040351959</v>
      </c>
      <c r="AF41" s="163">
        <f t="shared" ca="1" si="9"/>
        <v>277686.17258356861</v>
      </c>
      <c r="AG41" s="163">
        <f t="shared" ca="1" si="9"/>
        <v>1580286.7003468222</v>
      </c>
    </row>
    <row r="42" spans="1:33" s="99" customFormat="1"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</row>
    <row r="43" spans="1:33" s="165" customFormat="1">
      <c r="A43" s="165" t="s">
        <v>182</v>
      </c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</row>
    <row r="44" spans="1:33" s="20" customFormat="1">
      <c r="A44" s="20" t="s">
        <v>178</v>
      </c>
      <c r="D44" s="161">
        <f>D55</f>
        <v>561286.11351379356</v>
      </c>
      <c r="E44" s="161">
        <f t="shared" ref="E44:AG44" si="10">E55</f>
        <v>0</v>
      </c>
      <c r="F44" s="161">
        <f t="shared" si="10"/>
        <v>33677.166810827614</v>
      </c>
      <c r="G44" s="161">
        <f t="shared" si="10"/>
        <v>0</v>
      </c>
      <c r="H44" s="161">
        <f t="shared" si="10"/>
        <v>33677.166810827614</v>
      </c>
      <c r="I44" s="161">
        <f t="shared" si="10"/>
        <v>0</v>
      </c>
      <c r="J44" s="161">
        <f t="shared" si="10"/>
        <v>33677.166810827614</v>
      </c>
      <c r="K44" s="161">
        <f t="shared" si="10"/>
        <v>0</v>
      </c>
      <c r="L44" s="161">
        <f t="shared" si="10"/>
        <v>33677.166810827614</v>
      </c>
      <c r="M44" s="161">
        <f t="shared" si="10"/>
        <v>0</v>
      </c>
      <c r="N44" s="161">
        <f t="shared" si="10"/>
        <v>33677.166810827614</v>
      </c>
      <c r="O44" s="161">
        <f t="shared" si="10"/>
        <v>0</v>
      </c>
      <c r="P44" s="161">
        <f t="shared" si="10"/>
        <v>33677.166810827614</v>
      </c>
      <c r="Q44" s="161">
        <f t="shared" si="10"/>
        <v>0</v>
      </c>
      <c r="R44" s="161">
        <f t="shared" si="10"/>
        <v>33677.166810827614</v>
      </c>
      <c r="S44" s="161">
        <f t="shared" si="10"/>
        <v>0</v>
      </c>
      <c r="T44" s="161">
        <f t="shared" si="10"/>
        <v>33677.166810827614</v>
      </c>
      <c r="U44" s="161">
        <f t="shared" si="10"/>
        <v>0</v>
      </c>
      <c r="V44" s="161">
        <f t="shared" si="10"/>
        <v>33677.166810827614</v>
      </c>
      <c r="W44" s="161">
        <f t="shared" si="10"/>
        <v>0</v>
      </c>
      <c r="X44" s="161">
        <f t="shared" si="10"/>
        <v>33677.166810827614</v>
      </c>
      <c r="Y44" s="161">
        <f t="shared" si="10"/>
        <v>0</v>
      </c>
      <c r="Z44" s="161">
        <f t="shared" si="10"/>
        <v>33677.166810827614</v>
      </c>
      <c r="AA44" s="161">
        <f t="shared" si="10"/>
        <v>0</v>
      </c>
      <c r="AB44" s="161">
        <f t="shared" si="10"/>
        <v>33677.166810827614</v>
      </c>
      <c r="AC44" s="161">
        <f t="shared" si="10"/>
        <v>0</v>
      </c>
      <c r="AD44" s="161">
        <f t="shared" si="10"/>
        <v>33677.166810827614</v>
      </c>
      <c r="AE44" s="161">
        <f t="shared" si="10"/>
        <v>0</v>
      </c>
      <c r="AF44" s="161">
        <f t="shared" si="10"/>
        <v>33677.166810827614</v>
      </c>
      <c r="AG44" s="161">
        <f t="shared" si="10"/>
        <v>89805.778162206552</v>
      </c>
    </row>
    <row r="45" spans="1:33" s="20" customFormat="1">
      <c r="A45" s="20" t="s">
        <v>198</v>
      </c>
      <c r="D45" s="161">
        <f>MIN(D59+D60,D41-D44)</f>
        <v>167016.859667324</v>
      </c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</row>
    <row r="46" spans="1:33" s="20" customFormat="1">
      <c r="A46" s="20" t="s">
        <v>199</v>
      </c>
      <c r="D46" s="161">
        <f>MIN(D41-D44-D45,MAX(D69-D68,0))</f>
        <v>0</v>
      </c>
      <c r="E46" s="161">
        <f t="shared" ref="E46:AG46" ca="1" si="11">MIN(E41-E44-E45,MAX(E69-E68,0))</f>
        <v>6935.038384768457</v>
      </c>
      <c r="F46" s="161">
        <f t="shared" ca="1" si="11"/>
        <v>12050.747560555996</v>
      </c>
      <c r="G46" s="161">
        <f t="shared" ca="1" si="11"/>
        <v>9267.6363820860133</v>
      </c>
      <c r="H46" s="161">
        <f t="shared" ca="1" si="11"/>
        <v>16284.158685138005</v>
      </c>
      <c r="I46" s="161">
        <f t="shared" ca="1" si="11"/>
        <v>9568.3850929418113</v>
      </c>
      <c r="J46" s="161">
        <f t="shared" ca="1" si="11"/>
        <v>18579.648022042333</v>
      </c>
      <c r="K46" s="161">
        <f t="shared" ca="1" si="11"/>
        <v>12004.872669221222</v>
      </c>
      <c r="L46" s="161">
        <f t="shared" ca="1" si="11"/>
        <v>23109.466729513784</v>
      </c>
      <c r="M46" s="161">
        <f t="shared" ca="1" si="11"/>
        <v>14495.697824197356</v>
      </c>
      <c r="N46" s="161">
        <f t="shared" ca="1" si="11"/>
        <v>22169.720458033727</v>
      </c>
      <c r="O46" s="161">
        <f t="shared" ca="1" si="11"/>
        <v>13048.982148960698</v>
      </c>
      <c r="P46" s="161">
        <f t="shared" ca="1" si="11"/>
        <v>15624.737960672937</v>
      </c>
      <c r="Q46" s="161">
        <f t="shared" ca="1" si="11"/>
        <v>15751.989197786897</v>
      </c>
      <c r="R46" s="161">
        <f t="shared" ca="1" si="11"/>
        <v>11354.00842360477</v>
      </c>
      <c r="S46" s="161">
        <f t="shared" ca="1" si="11"/>
        <v>9652.4125124423299</v>
      </c>
      <c r="T46" s="161">
        <f t="shared" ca="1" si="11"/>
        <v>12399.175373884616</v>
      </c>
      <c r="U46" s="161">
        <f t="shared" ca="1" si="11"/>
        <v>13174.03970476496</v>
      </c>
      <c r="V46" s="161">
        <f t="shared" ca="1" si="11"/>
        <v>16010.781116128899</v>
      </c>
      <c r="W46" s="161">
        <f t="shared" ca="1" si="11"/>
        <v>16778.298193948576</v>
      </c>
      <c r="X46" s="161">
        <f t="shared" ca="1" si="11"/>
        <v>17785.367401588708</v>
      </c>
      <c r="Y46" s="161">
        <f t="shared" ca="1" si="11"/>
        <v>18545.315155623248</v>
      </c>
      <c r="Z46" s="161">
        <f t="shared" ca="1" si="11"/>
        <v>21571.51944776671</v>
      </c>
      <c r="AA46" s="161">
        <f t="shared" ca="1" si="11"/>
        <v>22323.669095205609</v>
      </c>
      <c r="AB46" s="161">
        <f t="shared" ca="1" si="11"/>
        <v>25449.593207043363</v>
      </c>
      <c r="AC46" s="161">
        <f t="shared" ca="1" si="11"/>
        <v>23149.30602744408</v>
      </c>
      <c r="AD46" s="161">
        <f t="shared" ca="1" si="11"/>
        <v>26378.440300760791</v>
      </c>
      <c r="AE46" s="161">
        <f t="shared" ca="1" si="11"/>
        <v>27114.279517726973</v>
      </c>
      <c r="AF46" s="161">
        <f t="shared" ca="1" si="11"/>
        <v>30450.243977138074</v>
      </c>
      <c r="AG46" s="161">
        <f t="shared" ca="1" si="11"/>
        <v>0</v>
      </c>
    </row>
    <row r="47" spans="1:33" s="20" customFormat="1">
      <c r="A47" s="20" t="s">
        <v>179</v>
      </c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>
        <f>AG34</f>
        <v>1610218.8134815511</v>
      </c>
    </row>
    <row r="48" spans="1:33" s="99" customFormat="1"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</row>
    <row r="49" spans="1:33">
      <c r="A49" s="22" t="s">
        <v>23</v>
      </c>
      <c r="B49" s="22"/>
      <c r="C49" s="23">
        <f>C56+C62+C65</f>
        <v>0</v>
      </c>
      <c r="D49" s="23">
        <f t="shared" ref="D49:AG49" si="12">C49+D39-SUM(D44:D47)</f>
        <v>81326.991999999969</v>
      </c>
      <c r="E49" s="23">
        <f t="shared" ca="1" si="12"/>
        <v>81326.992000000013</v>
      </c>
      <c r="F49" s="23">
        <f t="shared" ca="1" si="12"/>
        <v>85393.341600000014</v>
      </c>
      <c r="G49" s="23">
        <f t="shared" ca="1" si="12"/>
        <v>85393.341600000014</v>
      </c>
      <c r="H49" s="23">
        <f t="shared" ca="1" si="12"/>
        <v>89663.008680000014</v>
      </c>
      <c r="I49" s="23">
        <f t="shared" ca="1" si="12"/>
        <v>89663.008680000014</v>
      </c>
      <c r="J49" s="23">
        <f t="shared" ca="1" si="12"/>
        <v>94146.159114000009</v>
      </c>
      <c r="K49" s="23">
        <f t="shared" ca="1" si="12"/>
        <v>94146.159114000009</v>
      </c>
      <c r="L49" s="23">
        <f t="shared" ca="1" si="12"/>
        <v>98853.467069700011</v>
      </c>
      <c r="M49" s="23">
        <f t="shared" ca="1" si="12"/>
        <v>98853.467069700011</v>
      </c>
      <c r="N49" s="23">
        <f t="shared" ca="1" si="12"/>
        <v>105417.73519150575</v>
      </c>
      <c r="O49" s="23">
        <f t="shared" ca="1" si="12"/>
        <v>105417.73519150548</v>
      </c>
      <c r="P49" s="23">
        <f t="shared" ca="1" si="12"/>
        <v>123638.63859227079</v>
      </c>
      <c r="Q49" s="23">
        <f t="shared" ca="1" si="12"/>
        <v>123638.63859227067</v>
      </c>
      <c r="R49" s="23">
        <f t="shared" ca="1" si="12"/>
        <v>144454.44550361528</v>
      </c>
      <c r="S49" s="23">
        <f t="shared" ca="1" si="12"/>
        <v>144454.44550361528</v>
      </c>
      <c r="T49" s="23">
        <f t="shared" ca="1" si="12"/>
        <v>167994.90110106836</v>
      </c>
      <c r="U49" s="23">
        <f t="shared" ca="1" si="12"/>
        <v>167994.90110106824</v>
      </c>
      <c r="V49" s="23">
        <f t="shared" ca="1" si="12"/>
        <v>194396.23781893571</v>
      </c>
      <c r="W49" s="23">
        <f t="shared" ca="1" si="12"/>
        <v>194396.23781893577</v>
      </c>
      <c r="X49" s="23">
        <f t="shared" ca="1" si="12"/>
        <v>223801.49971323751</v>
      </c>
      <c r="Y49" s="23">
        <f t="shared" ca="1" si="12"/>
        <v>223801.49971323769</v>
      </c>
      <c r="Z49" s="23">
        <f t="shared" ca="1" si="12"/>
        <v>256360.88304279611</v>
      </c>
      <c r="AA49" s="23">
        <f t="shared" ca="1" si="12"/>
        <v>256360.88304279611</v>
      </c>
      <c r="AB49" s="23">
        <f t="shared" ca="1" si="12"/>
        <v>292232.09387937351</v>
      </c>
      <c r="AC49" s="23">
        <f t="shared" ca="1" si="12"/>
        <v>292232.09387937351</v>
      </c>
      <c r="AD49" s="23">
        <f t="shared" ca="1" si="12"/>
        <v>331580.72359832138</v>
      </c>
      <c r="AE49" s="23">
        <f t="shared" ca="1" si="12"/>
        <v>331580.72359832132</v>
      </c>
      <c r="AF49" s="23">
        <f t="shared" ca="1" si="12"/>
        <v>374580.643143758</v>
      </c>
      <c r="AG49" s="23">
        <f t="shared" ca="1" si="12"/>
        <v>41283.990051219705</v>
      </c>
    </row>
    <row r="50" spans="1:33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>
      <c r="A51" s="116" t="s">
        <v>188</v>
      </c>
      <c r="B51" s="116"/>
      <c r="C51" s="116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</row>
    <row r="52" spans="1:33">
      <c r="A52" s="114" t="s">
        <v>3</v>
      </c>
      <c r="B52" s="114"/>
      <c r="C52" s="114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</row>
    <row r="53" spans="1:33">
      <c r="B53" s="9" t="str">
        <f>B32</f>
        <v>기초</v>
      </c>
      <c r="C53" s="10">
        <v>0</v>
      </c>
      <c r="D53" s="2">
        <f>C56</f>
        <v>1122572.2270275871</v>
      </c>
      <c r="E53" s="2">
        <f t="shared" ref="E53:AG53" si="13">D56</f>
        <v>561286.11351379356</v>
      </c>
      <c r="F53" s="2">
        <f t="shared" si="13"/>
        <v>561286.11351379356</v>
      </c>
      <c r="G53" s="2">
        <f t="shared" si="13"/>
        <v>527608.946702966</v>
      </c>
      <c r="H53" s="2">
        <f t="shared" si="13"/>
        <v>527608.946702966</v>
      </c>
      <c r="I53" s="2">
        <f t="shared" si="13"/>
        <v>493931.77989213838</v>
      </c>
      <c r="J53" s="2">
        <f t="shared" si="13"/>
        <v>493931.77989213838</v>
      </c>
      <c r="K53" s="2">
        <f t="shared" si="13"/>
        <v>460254.61308131076</v>
      </c>
      <c r="L53" s="2">
        <f t="shared" si="13"/>
        <v>460254.61308131076</v>
      </c>
      <c r="M53" s="2">
        <f t="shared" si="13"/>
        <v>426577.44627048314</v>
      </c>
      <c r="N53" s="2">
        <f t="shared" si="13"/>
        <v>426577.44627048314</v>
      </c>
      <c r="O53" s="2">
        <f t="shared" si="13"/>
        <v>392900.27945965552</v>
      </c>
      <c r="P53" s="2">
        <f t="shared" si="13"/>
        <v>392900.27945965552</v>
      </c>
      <c r="Q53" s="2">
        <f t="shared" si="13"/>
        <v>359223.1126488279</v>
      </c>
      <c r="R53" s="2">
        <f t="shared" si="13"/>
        <v>359223.1126488279</v>
      </c>
      <c r="S53" s="2">
        <f t="shared" si="13"/>
        <v>325545.94583800028</v>
      </c>
      <c r="T53" s="2">
        <f t="shared" si="13"/>
        <v>325545.94583800028</v>
      </c>
      <c r="U53" s="2">
        <f t="shared" si="13"/>
        <v>291868.77902717266</v>
      </c>
      <c r="V53" s="2">
        <f t="shared" si="13"/>
        <v>291868.77902717266</v>
      </c>
      <c r="W53" s="2">
        <f t="shared" si="13"/>
        <v>258191.61221634503</v>
      </c>
      <c r="X53" s="2">
        <f t="shared" si="13"/>
        <v>258191.61221634503</v>
      </c>
      <c r="Y53" s="2">
        <f t="shared" si="13"/>
        <v>224514.44540551741</v>
      </c>
      <c r="Z53" s="2">
        <f t="shared" si="13"/>
        <v>224514.44540551741</v>
      </c>
      <c r="AA53" s="2">
        <f t="shared" si="13"/>
        <v>190837.27859468979</v>
      </c>
      <c r="AB53" s="2">
        <f t="shared" si="13"/>
        <v>190837.27859468979</v>
      </c>
      <c r="AC53" s="2">
        <f t="shared" si="13"/>
        <v>157160.11178386217</v>
      </c>
      <c r="AD53" s="2">
        <f t="shared" si="13"/>
        <v>157160.11178386217</v>
      </c>
      <c r="AE53" s="2">
        <f t="shared" si="13"/>
        <v>123482.94497303455</v>
      </c>
      <c r="AF53" s="2">
        <f t="shared" si="13"/>
        <v>123482.94497303455</v>
      </c>
      <c r="AG53" s="2">
        <f t="shared" si="13"/>
        <v>89805.778162206931</v>
      </c>
    </row>
    <row r="54" spans="1:33">
      <c r="B54" s="9" t="str">
        <f>B33</f>
        <v>당기증가</v>
      </c>
      <c r="C54" s="10">
        <f>사업개요!$C$22</f>
        <v>1122572.2270275871</v>
      </c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</row>
    <row r="55" spans="1:33">
      <c r="B55" s="9" t="s">
        <v>180</v>
      </c>
      <c r="C55" s="2"/>
      <c r="D55" s="157">
        <f>사업개요!$C$22*Cash!D5</f>
        <v>561286.11351379356</v>
      </c>
      <c r="E55" s="157">
        <f>사업개요!$C$22*Cash!E5</f>
        <v>0</v>
      </c>
      <c r="F55" s="157">
        <f>사업개요!$C$22*Cash!F5</f>
        <v>33677.166810827614</v>
      </c>
      <c r="G55" s="157">
        <f>사업개요!$C$22*Cash!G5</f>
        <v>0</v>
      </c>
      <c r="H55" s="157">
        <f>사업개요!$C$22*Cash!H5</f>
        <v>33677.166810827614</v>
      </c>
      <c r="I55" s="157">
        <f>사업개요!$C$22*Cash!I5</f>
        <v>0</v>
      </c>
      <c r="J55" s="157">
        <f>사업개요!$C$22*Cash!J5</f>
        <v>33677.166810827614</v>
      </c>
      <c r="K55" s="157">
        <f>사업개요!$C$22*Cash!K5</f>
        <v>0</v>
      </c>
      <c r="L55" s="157">
        <f>사업개요!$C$22*Cash!L5</f>
        <v>33677.166810827614</v>
      </c>
      <c r="M55" s="157">
        <f>사업개요!$C$22*Cash!M5</f>
        <v>0</v>
      </c>
      <c r="N55" s="157">
        <f>사업개요!$C$22*Cash!N5</f>
        <v>33677.166810827614</v>
      </c>
      <c r="O55" s="157">
        <f>사업개요!$C$22*Cash!O5</f>
        <v>0</v>
      </c>
      <c r="P55" s="157">
        <f>사업개요!$C$22*Cash!P5</f>
        <v>33677.166810827614</v>
      </c>
      <c r="Q55" s="157">
        <f>사업개요!$C$22*Cash!Q5</f>
        <v>0</v>
      </c>
      <c r="R55" s="157">
        <f>사업개요!$C$22*Cash!R5</f>
        <v>33677.166810827614</v>
      </c>
      <c r="S55" s="157">
        <f>사업개요!$C$22*Cash!S5</f>
        <v>0</v>
      </c>
      <c r="T55" s="157">
        <f>사업개요!$C$22*Cash!T5</f>
        <v>33677.166810827614</v>
      </c>
      <c r="U55" s="157">
        <f>사업개요!$C$22*Cash!U5</f>
        <v>0</v>
      </c>
      <c r="V55" s="157">
        <f>사업개요!$C$22*Cash!V5</f>
        <v>33677.166810827614</v>
      </c>
      <c r="W55" s="157">
        <f>사업개요!$C$22*Cash!W5</f>
        <v>0</v>
      </c>
      <c r="X55" s="157">
        <f>사업개요!$C$22*Cash!X5</f>
        <v>33677.166810827614</v>
      </c>
      <c r="Y55" s="157">
        <f>사업개요!$C$22*Cash!Y5</f>
        <v>0</v>
      </c>
      <c r="Z55" s="157">
        <f>사업개요!$C$22*Cash!Z5</f>
        <v>33677.166810827614</v>
      </c>
      <c r="AA55" s="157">
        <f>사업개요!$C$22*Cash!AA5</f>
        <v>0</v>
      </c>
      <c r="AB55" s="157">
        <f>사업개요!$C$22*Cash!AB5</f>
        <v>33677.166810827614</v>
      </c>
      <c r="AC55" s="157">
        <f>사업개요!$C$22*Cash!AC5</f>
        <v>0</v>
      </c>
      <c r="AD55" s="157">
        <f>사업개요!$C$22*Cash!AD5</f>
        <v>33677.166810827614</v>
      </c>
      <c r="AE55" s="157">
        <f>사업개요!$C$22*Cash!AE5</f>
        <v>0</v>
      </c>
      <c r="AF55" s="157">
        <f>사업개요!$C$22*Cash!AF5</f>
        <v>33677.166810827614</v>
      </c>
      <c r="AG55" s="157">
        <f>사업개요!$C$22*Cash!AG5</f>
        <v>89805.778162206552</v>
      </c>
    </row>
    <row r="56" spans="1:33">
      <c r="B56" s="9" t="str">
        <f>B34</f>
        <v>기말</v>
      </c>
      <c r="C56" s="10">
        <f>C53+C54-C55</f>
        <v>1122572.2270275871</v>
      </c>
      <c r="D56" s="10">
        <f t="shared" ref="D56:AG56" si="14">D53+D54-D55</f>
        <v>561286.11351379356</v>
      </c>
      <c r="E56" s="10">
        <f t="shared" si="14"/>
        <v>561286.11351379356</v>
      </c>
      <c r="F56" s="10">
        <f t="shared" si="14"/>
        <v>527608.946702966</v>
      </c>
      <c r="G56" s="10">
        <f t="shared" si="14"/>
        <v>527608.946702966</v>
      </c>
      <c r="H56" s="10">
        <f t="shared" si="14"/>
        <v>493931.77989213838</v>
      </c>
      <c r="I56" s="10">
        <f t="shared" si="14"/>
        <v>493931.77989213838</v>
      </c>
      <c r="J56" s="10">
        <f t="shared" si="14"/>
        <v>460254.61308131076</v>
      </c>
      <c r="K56" s="10">
        <f t="shared" si="14"/>
        <v>460254.61308131076</v>
      </c>
      <c r="L56" s="10">
        <f t="shared" si="14"/>
        <v>426577.44627048314</v>
      </c>
      <c r="M56" s="10">
        <f t="shared" si="14"/>
        <v>426577.44627048314</v>
      </c>
      <c r="N56" s="10">
        <f t="shared" si="14"/>
        <v>392900.27945965552</v>
      </c>
      <c r="O56" s="10">
        <f t="shared" si="14"/>
        <v>392900.27945965552</v>
      </c>
      <c r="P56" s="10">
        <f t="shared" si="14"/>
        <v>359223.1126488279</v>
      </c>
      <c r="Q56" s="10">
        <f t="shared" si="14"/>
        <v>359223.1126488279</v>
      </c>
      <c r="R56" s="10">
        <f t="shared" si="14"/>
        <v>325545.94583800028</v>
      </c>
      <c r="S56" s="10">
        <f t="shared" si="14"/>
        <v>325545.94583800028</v>
      </c>
      <c r="T56" s="10">
        <f t="shared" si="14"/>
        <v>291868.77902717266</v>
      </c>
      <c r="U56" s="10">
        <f t="shared" si="14"/>
        <v>291868.77902717266</v>
      </c>
      <c r="V56" s="10">
        <f t="shared" si="14"/>
        <v>258191.61221634503</v>
      </c>
      <c r="W56" s="10">
        <f t="shared" si="14"/>
        <v>258191.61221634503</v>
      </c>
      <c r="X56" s="10">
        <f t="shared" si="14"/>
        <v>224514.44540551741</v>
      </c>
      <c r="Y56" s="10">
        <f t="shared" si="14"/>
        <v>224514.44540551741</v>
      </c>
      <c r="Z56" s="10">
        <f t="shared" si="14"/>
        <v>190837.27859468979</v>
      </c>
      <c r="AA56" s="10">
        <f t="shared" si="14"/>
        <v>190837.27859468979</v>
      </c>
      <c r="AB56" s="10">
        <f t="shared" si="14"/>
        <v>157160.11178386217</v>
      </c>
      <c r="AC56" s="10">
        <f t="shared" si="14"/>
        <v>157160.11178386217</v>
      </c>
      <c r="AD56" s="10">
        <f t="shared" si="14"/>
        <v>123482.94497303455</v>
      </c>
      <c r="AE56" s="10">
        <f t="shared" si="14"/>
        <v>123482.94497303455</v>
      </c>
      <c r="AF56" s="10">
        <f t="shared" si="14"/>
        <v>89805.778162206931</v>
      </c>
      <c r="AG56" s="10">
        <f t="shared" si="14"/>
        <v>3.7834979593753815E-10</v>
      </c>
    </row>
    <row r="57" spans="1:33">
      <c r="C57" s="10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>
      <c r="A58" s="114" t="s">
        <v>129</v>
      </c>
      <c r="B58" s="114"/>
      <c r="C58" s="114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</row>
    <row r="59" spans="1:33">
      <c r="B59" s="9" t="str">
        <f>B53</f>
        <v>기초</v>
      </c>
      <c r="C59" s="10">
        <v>0</v>
      </c>
      <c r="D59" s="2">
        <f>C62</f>
        <v>285151.72147241281</v>
      </c>
      <c r="E59" s="2">
        <f t="shared" ref="E59:AG59" si="15">D62</f>
        <v>118134.86180508882</v>
      </c>
      <c r="F59" s="2">
        <f t="shared" si="15"/>
        <v>118134.86180508882</v>
      </c>
      <c r="G59" s="2">
        <f t="shared" si="15"/>
        <v>118134.86180508882</v>
      </c>
      <c r="H59" s="2">
        <f t="shared" si="15"/>
        <v>118134.86180508882</v>
      </c>
      <c r="I59" s="2">
        <f t="shared" si="15"/>
        <v>118134.86180508882</v>
      </c>
      <c r="J59" s="2">
        <f t="shared" si="15"/>
        <v>118134.86180508882</v>
      </c>
      <c r="K59" s="2">
        <f t="shared" si="15"/>
        <v>118134.86180508882</v>
      </c>
      <c r="L59" s="2">
        <f t="shared" si="15"/>
        <v>118134.86180508882</v>
      </c>
      <c r="M59" s="2">
        <f t="shared" si="15"/>
        <v>118134.86180508882</v>
      </c>
      <c r="N59" s="2">
        <f t="shared" si="15"/>
        <v>118134.86180508882</v>
      </c>
      <c r="O59" s="2">
        <f t="shared" si="15"/>
        <v>118134.86180508882</v>
      </c>
      <c r="P59" s="2">
        <f t="shared" si="15"/>
        <v>118134.86180508882</v>
      </c>
      <c r="Q59" s="2">
        <f t="shared" si="15"/>
        <v>118134.86180508882</v>
      </c>
      <c r="R59" s="2">
        <f t="shared" si="15"/>
        <v>118134.86180508882</v>
      </c>
      <c r="S59" s="2">
        <f t="shared" si="15"/>
        <v>118134.86180508882</v>
      </c>
      <c r="T59" s="2">
        <f t="shared" si="15"/>
        <v>118134.86180508882</v>
      </c>
      <c r="U59" s="2">
        <f t="shared" si="15"/>
        <v>118134.86180508882</v>
      </c>
      <c r="V59" s="2">
        <f t="shared" si="15"/>
        <v>118134.86180508882</v>
      </c>
      <c r="W59" s="2">
        <f t="shared" si="15"/>
        <v>118134.86180508882</v>
      </c>
      <c r="X59" s="2">
        <f t="shared" si="15"/>
        <v>118134.86180508882</v>
      </c>
      <c r="Y59" s="2">
        <f t="shared" si="15"/>
        <v>118134.86180508882</v>
      </c>
      <c r="Z59" s="2">
        <f t="shared" si="15"/>
        <v>118134.86180508882</v>
      </c>
      <c r="AA59" s="2">
        <f t="shared" si="15"/>
        <v>118134.86180508882</v>
      </c>
      <c r="AB59" s="2">
        <f t="shared" si="15"/>
        <v>118134.86180508882</v>
      </c>
      <c r="AC59" s="2">
        <f t="shared" si="15"/>
        <v>118134.86180508882</v>
      </c>
      <c r="AD59" s="2">
        <f t="shared" si="15"/>
        <v>118134.86180508882</v>
      </c>
      <c r="AE59" s="2">
        <f t="shared" si="15"/>
        <v>118134.86180508882</v>
      </c>
      <c r="AF59" s="2">
        <f t="shared" si="15"/>
        <v>118134.86180508882</v>
      </c>
      <c r="AG59" s="2">
        <f t="shared" si="15"/>
        <v>118134.86180508882</v>
      </c>
    </row>
    <row r="60" spans="1:33">
      <c r="B60" s="9" t="str">
        <f>B54</f>
        <v>당기증가</v>
      </c>
      <c r="C60" s="10">
        <f>사업개요!$C$16</f>
        <v>285151.72147241281</v>
      </c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</row>
    <row r="61" spans="1:33">
      <c r="B61" s="9" t="s">
        <v>180</v>
      </c>
      <c r="C61" s="2"/>
      <c r="D61" s="157">
        <f t="shared" ref="D61:AG61" si="16">D45</f>
        <v>167016.859667324</v>
      </c>
      <c r="E61" s="157">
        <f t="shared" si="16"/>
        <v>0</v>
      </c>
      <c r="F61" s="157">
        <f t="shared" si="16"/>
        <v>0</v>
      </c>
      <c r="G61" s="157">
        <f t="shared" si="16"/>
        <v>0</v>
      </c>
      <c r="H61" s="157">
        <f t="shared" si="16"/>
        <v>0</v>
      </c>
      <c r="I61" s="157">
        <f t="shared" si="16"/>
        <v>0</v>
      </c>
      <c r="J61" s="157">
        <f t="shared" si="16"/>
        <v>0</v>
      </c>
      <c r="K61" s="157">
        <f t="shared" si="16"/>
        <v>0</v>
      </c>
      <c r="L61" s="157">
        <f t="shared" si="16"/>
        <v>0</v>
      </c>
      <c r="M61" s="157">
        <f t="shared" si="16"/>
        <v>0</v>
      </c>
      <c r="N61" s="157">
        <f t="shared" si="16"/>
        <v>0</v>
      </c>
      <c r="O61" s="157">
        <f t="shared" si="16"/>
        <v>0</v>
      </c>
      <c r="P61" s="157">
        <f t="shared" si="16"/>
        <v>0</v>
      </c>
      <c r="Q61" s="157">
        <f t="shared" si="16"/>
        <v>0</v>
      </c>
      <c r="R61" s="157">
        <f t="shared" si="16"/>
        <v>0</v>
      </c>
      <c r="S61" s="157">
        <f t="shared" si="16"/>
        <v>0</v>
      </c>
      <c r="T61" s="157">
        <f t="shared" si="16"/>
        <v>0</v>
      </c>
      <c r="U61" s="157">
        <f t="shared" si="16"/>
        <v>0</v>
      </c>
      <c r="V61" s="157">
        <f t="shared" si="16"/>
        <v>0</v>
      </c>
      <c r="W61" s="157">
        <f t="shared" si="16"/>
        <v>0</v>
      </c>
      <c r="X61" s="157">
        <f t="shared" si="16"/>
        <v>0</v>
      </c>
      <c r="Y61" s="157">
        <f t="shared" si="16"/>
        <v>0</v>
      </c>
      <c r="Z61" s="157">
        <f t="shared" si="16"/>
        <v>0</v>
      </c>
      <c r="AA61" s="157">
        <f t="shared" si="16"/>
        <v>0</v>
      </c>
      <c r="AB61" s="157">
        <f t="shared" si="16"/>
        <v>0</v>
      </c>
      <c r="AC61" s="157">
        <f t="shared" si="16"/>
        <v>0</v>
      </c>
      <c r="AD61" s="157">
        <f t="shared" si="16"/>
        <v>0</v>
      </c>
      <c r="AE61" s="157">
        <f t="shared" si="16"/>
        <v>0</v>
      </c>
      <c r="AF61" s="157">
        <f t="shared" si="16"/>
        <v>0</v>
      </c>
      <c r="AG61" s="157">
        <f t="shared" si="16"/>
        <v>0</v>
      </c>
    </row>
    <row r="62" spans="1:33">
      <c r="B62" s="9" t="str">
        <f>B56</f>
        <v>기말</v>
      </c>
      <c r="C62" s="10">
        <f>C59+C60-C61</f>
        <v>285151.72147241281</v>
      </c>
      <c r="D62" s="10">
        <f t="shared" ref="D62:AG62" si="17">D59+D60-D61</f>
        <v>118134.86180508882</v>
      </c>
      <c r="E62" s="10">
        <f t="shared" si="17"/>
        <v>118134.86180508882</v>
      </c>
      <c r="F62" s="10">
        <f t="shared" si="17"/>
        <v>118134.86180508882</v>
      </c>
      <c r="G62" s="10">
        <f t="shared" si="17"/>
        <v>118134.86180508882</v>
      </c>
      <c r="H62" s="10">
        <f t="shared" si="17"/>
        <v>118134.86180508882</v>
      </c>
      <c r="I62" s="10">
        <f t="shared" si="17"/>
        <v>118134.86180508882</v>
      </c>
      <c r="J62" s="10">
        <f t="shared" si="17"/>
        <v>118134.86180508882</v>
      </c>
      <c r="K62" s="10">
        <f t="shared" si="17"/>
        <v>118134.86180508882</v>
      </c>
      <c r="L62" s="10">
        <f t="shared" si="17"/>
        <v>118134.86180508882</v>
      </c>
      <c r="M62" s="10">
        <f t="shared" si="17"/>
        <v>118134.86180508882</v>
      </c>
      <c r="N62" s="10">
        <f t="shared" si="17"/>
        <v>118134.86180508882</v>
      </c>
      <c r="O62" s="10">
        <f t="shared" si="17"/>
        <v>118134.86180508882</v>
      </c>
      <c r="P62" s="10">
        <f t="shared" si="17"/>
        <v>118134.86180508882</v>
      </c>
      <c r="Q62" s="10">
        <f t="shared" si="17"/>
        <v>118134.86180508882</v>
      </c>
      <c r="R62" s="10">
        <f t="shared" si="17"/>
        <v>118134.86180508882</v>
      </c>
      <c r="S62" s="10">
        <f t="shared" si="17"/>
        <v>118134.86180508882</v>
      </c>
      <c r="T62" s="10">
        <f t="shared" si="17"/>
        <v>118134.86180508882</v>
      </c>
      <c r="U62" s="10">
        <f t="shared" si="17"/>
        <v>118134.86180508882</v>
      </c>
      <c r="V62" s="10">
        <f t="shared" si="17"/>
        <v>118134.86180508882</v>
      </c>
      <c r="W62" s="10">
        <f t="shared" si="17"/>
        <v>118134.86180508882</v>
      </c>
      <c r="X62" s="10">
        <f t="shared" si="17"/>
        <v>118134.86180508882</v>
      </c>
      <c r="Y62" s="10">
        <f t="shared" si="17"/>
        <v>118134.86180508882</v>
      </c>
      <c r="Z62" s="10">
        <f t="shared" si="17"/>
        <v>118134.86180508882</v>
      </c>
      <c r="AA62" s="10">
        <f t="shared" si="17"/>
        <v>118134.86180508882</v>
      </c>
      <c r="AB62" s="10">
        <f t="shared" si="17"/>
        <v>118134.86180508882</v>
      </c>
      <c r="AC62" s="10">
        <f t="shared" si="17"/>
        <v>118134.86180508882</v>
      </c>
      <c r="AD62" s="10">
        <f t="shared" si="17"/>
        <v>118134.86180508882</v>
      </c>
      <c r="AE62" s="10">
        <f t="shared" si="17"/>
        <v>118134.86180508882</v>
      </c>
      <c r="AF62" s="10">
        <f t="shared" si="17"/>
        <v>118134.86180508882</v>
      </c>
      <c r="AG62" s="10">
        <f t="shared" si="17"/>
        <v>118134.86180508882</v>
      </c>
    </row>
    <row r="64" spans="1:33" s="10" customFormat="1">
      <c r="A64" s="105" t="s">
        <v>130</v>
      </c>
      <c r="B64" s="105"/>
      <c r="C64" s="105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</row>
    <row r="65" spans="1:33">
      <c r="B65" s="9" t="s">
        <v>131</v>
      </c>
      <c r="C65" s="10">
        <f>-(C56+C62)</f>
        <v>-1407723.9484999999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7" spans="1:33" s="158" customFormat="1"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</row>
    <row r="68" spans="1:33">
      <c r="A68" s="9" t="s">
        <v>132</v>
      </c>
      <c r="D68" s="3">
        <f t="shared" ref="D68:AG68" si="18">D56+D34</f>
        <v>1374556.0335137937</v>
      </c>
      <c r="E68" s="3">
        <f t="shared" si="18"/>
        <v>1374556.0335137937</v>
      </c>
      <c r="F68" s="3">
        <f t="shared" si="18"/>
        <v>1381542.3627029662</v>
      </c>
      <c r="G68" s="3">
        <f t="shared" si="18"/>
        <v>1381542.3627029662</v>
      </c>
      <c r="H68" s="3">
        <f t="shared" si="18"/>
        <v>1390561.8666921384</v>
      </c>
      <c r="I68" s="3">
        <f t="shared" si="18"/>
        <v>1390561.8666921384</v>
      </c>
      <c r="J68" s="3">
        <f t="shared" si="18"/>
        <v>1401716.2042213108</v>
      </c>
      <c r="K68" s="3">
        <f t="shared" si="18"/>
        <v>1401716.2042213108</v>
      </c>
      <c r="L68" s="3">
        <f t="shared" si="18"/>
        <v>1415112.1169674832</v>
      </c>
      <c r="M68" s="3">
        <f t="shared" si="18"/>
        <v>1415112.1169674832</v>
      </c>
      <c r="N68" s="3">
        <f t="shared" si="18"/>
        <v>1430861.6836915056</v>
      </c>
      <c r="O68" s="3">
        <f t="shared" si="18"/>
        <v>1430861.6836915056</v>
      </c>
      <c r="P68" s="3">
        <f t="shared" si="18"/>
        <v>1449082.5870922706</v>
      </c>
      <c r="Q68" s="3">
        <f t="shared" si="18"/>
        <v>1449082.5870922706</v>
      </c>
      <c r="R68" s="3">
        <f t="shared" si="18"/>
        <v>1469898.3940036152</v>
      </c>
      <c r="S68" s="3">
        <f t="shared" si="18"/>
        <v>1469898.3940036152</v>
      </c>
      <c r="T68" s="3">
        <f t="shared" si="18"/>
        <v>1493438.8496010683</v>
      </c>
      <c r="U68" s="3">
        <f t="shared" si="18"/>
        <v>1493438.8496010683</v>
      </c>
      <c r="V68" s="3">
        <f t="shared" si="18"/>
        <v>1519840.1863189356</v>
      </c>
      <c r="W68" s="3">
        <f t="shared" si="18"/>
        <v>1519840.1863189356</v>
      </c>
      <c r="X68" s="3">
        <f t="shared" si="18"/>
        <v>1549245.4482132376</v>
      </c>
      <c r="Y68" s="3">
        <f t="shared" si="18"/>
        <v>1549245.4482132376</v>
      </c>
      <c r="Z68" s="3">
        <f t="shared" si="18"/>
        <v>1581804.831542796</v>
      </c>
      <c r="AA68" s="3">
        <f t="shared" si="18"/>
        <v>1581804.831542796</v>
      </c>
      <c r="AB68" s="3">
        <f t="shared" si="18"/>
        <v>1617676.0423793735</v>
      </c>
      <c r="AC68" s="3">
        <f t="shared" si="18"/>
        <v>1617676.0423793735</v>
      </c>
      <c r="AD68" s="3">
        <f t="shared" si="18"/>
        <v>1657024.6720983214</v>
      </c>
      <c r="AE68" s="3">
        <f t="shared" si="18"/>
        <v>1657024.6720983214</v>
      </c>
      <c r="AF68" s="3">
        <f t="shared" si="18"/>
        <v>1700024.5916437581</v>
      </c>
      <c r="AG68" s="3">
        <f t="shared" si="18"/>
        <v>1610218.8134815516</v>
      </c>
    </row>
    <row r="69" spans="1:33">
      <c r="A69" s="9" t="s">
        <v>181</v>
      </c>
      <c r="D69" s="2">
        <f>사업개요!$O$8+C49+D39-SUM(D44:D45)</f>
        <v>1406770.9404999998</v>
      </c>
      <c r="E69" s="2">
        <f ca="1">사업개요!$O$8+D49+E39-SUM(E44:E45)</f>
        <v>1413705.9788847684</v>
      </c>
      <c r="F69" s="2">
        <f ca="1">사업개요!$O$8+E49+F39-SUM(F44:F45)</f>
        <v>1422888.0376605561</v>
      </c>
      <c r="G69" s="2">
        <f ca="1">사업개요!$O$8+F49+G39-SUM(G44:G45)</f>
        <v>1420104.9264820858</v>
      </c>
      <c r="H69" s="2">
        <f ca="1">사업개요!$O$8+G49+H39-SUM(H44:H45)</f>
        <v>1431391.1158651379</v>
      </c>
      <c r="I69" s="2">
        <f ca="1">사업개요!$O$8+H49+I39-SUM(I44:I45)</f>
        <v>1424675.3422729417</v>
      </c>
      <c r="J69" s="2">
        <f ca="1">사업개요!$O$8+I49+J39-SUM(J44:J45)</f>
        <v>1438169.7556360422</v>
      </c>
      <c r="K69" s="2">
        <f ca="1">사업개요!$O$8+J49+K39-SUM(K44:K45)</f>
        <v>1431594.980283221</v>
      </c>
      <c r="L69" s="2">
        <f ca="1">사업개요!$O$8+K49+L39-SUM(L44:L45)</f>
        <v>1447406.8822992137</v>
      </c>
      <c r="M69" s="2">
        <f ca="1">사업개요!$O$8+L49+M39-SUM(M44:M45)</f>
        <v>1438793.1133938972</v>
      </c>
      <c r="N69" s="2">
        <f ca="1">사업개요!$O$8+M49+N39-SUM(N44:N45)</f>
        <v>1453031.4041495393</v>
      </c>
      <c r="O69" s="2">
        <f ca="1">사업개요!$O$8+N49+O39-SUM(O44:O45)</f>
        <v>1443910.6658404663</v>
      </c>
      <c r="P69" s="2">
        <f ca="1">사업개요!$O$8+O49+P39-SUM(P44:P45)</f>
        <v>1464707.3250529435</v>
      </c>
      <c r="Q69" s="2">
        <f ca="1">사업개요!$O$8+P49+Q39-SUM(Q44:Q45)</f>
        <v>1464834.5762900575</v>
      </c>
      <c r="R69" s="2">
        <f ca="1">사업개요!$O$8+Q49+R39-SUM(R44:R45)</f>
        <v>1481252.40242722</v>
      </c>
      <c r="S69" s="2">
        <f ca="1">사업개요!$O$8+R49+S39-SUM(S44:S45)</f>
        <v>1479550.8065160576</v>
      </c>
      <c r="T69" s="2">
        <f ca="1">사업개요!$O$8+S49+T39-SUM(T44:T45)</f>
        <v>1505838.0249749529</v>
      </c>
      <c r="U69" s="2">
        <f ca="1">사업개요!$O$8+T49+U39-SUM(U44:U45)</f>
        <v>1506612.8893058333</v>
      </c>
      <c r="V69" s="2">
        <f ca="1">사업개요!$O$8+U49+V39-SUM(V44:V45)</f>
        <v>1535850.9674350645</v>
      </c>
      <c r="W69" s="2">
        <f ca="1">사업개요!$O$8+V49+W39-SUM(W44:W45)</f>
        <v>1536618.4845128842</v>
      </c>
      <c r="X69" s="2">
        <f ca="1">사업개요!$O$8+W49+X39-SUM(X44:X45)</f>
        <v>1567030.8156148263</v>
      </c>
      <c r="Y69" s="2">
        <f ca="1">사업개요!$O$8+X49+Y39-SUM(Y44:Y45)</f>
        <v>1567790.7633688608</v>
      </c>
      <c r="Z69" s="2">
        <f ca="1">사업개요!$O$8+Y49+Z39-SUM(Z44:Z45)</f>
        <v>1603376.3509905627</v>
      </c>
      <c r="AA69" s="2">
        <f ca="1">사업개요!$O$8+Z49+AA39-SUM(AA44:AA45)</f>
        <v>1604128.5006380016</v>
      </c>
      <c r="AB69" s="2">
        <f ca="1">사업개요!$O$8+AA49+AB39-SUM(AB44:AB45)</f>
        <v>1643125.6355864168</v>
      </c>
      <c r="AC69" s="2">
        <f ca="1">사업개요!$O$8+AB49+AC39-SUM(AC44:AC45)</f>
        <v>1640825.3484068175</v>
      </c>
      <c r="AD69" s="2">
        <f ca="1">사업개요!$O$8+AC49+AD39-SUM(AD44:AD45)</f>
        <v>1683403.1123990822</v>
      </c>
      <c r="AE69" s="2">
        <f ca="1">사업개요!$O$8+AD49+AE39-SUM(AE44:AE45)</f>
        <v>1684138.9516160483</v>
      </c>
      <c r="AF69" s="2">
        <f ca="1">사업개요!$O$8+AE49+AF39-SUM(AF44:AF45)</f>
        <v>1730474.8356208962</v>
      </c>
      <c r="AG69" s="156"/>
    </row>
    <row r="71" spans="1:33">
      <c r="A71" s="121" t="s">
        <v>27</v>
      </c>
      <c r="B71" s="122"/>
      <c r="C71" s="123">
        <f ca="1">IRR(C72:AG72)</f>
        <v>9.4156716867779933E-2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5"/>
    </row>
    <row r="72" spans="1:33">
      <c r="A72" s="26" t="s">
        <v>28</v>
      </c>
      <c r="B72" s="27"/>
      <c r="C72" s="28">
        <f>-사업개요!C16</f>
        <v>-285151.72147241281</v>
      </c>
      <c r="D72" s="28">
        <f t="shared" ref="D72:AF72" si="19">D45+D46</f>
        <v>167016.859667324</v>
      </c>
      <c r="E72" s="28">
        <f t="shared" ca="1" si="19"/>
        <v>6935.038384768457</v>
      </c>
      <c r="F72" s="28">
        <f t="shared" ca="1" si="19"/>
        <v>12050.747560555996</v>
      </c>
      <c r="G72" s="28">
        <f t="shared" ca="1" si="19"/>
        <v>9267.6363820860133</v>
      </c>
      <c r="H72" s="28">
        <f t="shared" ca="1" si="19"/>
        <v>16284.158685138005</v>
      </c>
      <c r="I72" s="28">
        <f t="shared" ca="1" si="19"/>
        <v>9568.3850929418113</v>
      </c>
      <c r="J72" s="28">
        <f t="shared" ca="1" si="19"/>
        <v>18579.648022042333</v>
      </c>
      <c r="K72" s="28">
        <f t="shared" ca="1" si="19"/>
        <v>12004.872669221222</v>
      </c>
      <c r="L72" s="28">
        <f t="shared" ca="1" si="19"/>
        <v>23109.466729513784</v>
      </c>
      <c r="M72" s="28">
        <f t="shared" ca="1" si="19"/>
        <v>14495.697824197356</v>
      </c>
      <c r="N72" s="28">
        <f t="shared" ca="1" si="19"/>
        <v>22169.720458033727</v>
      </c>
      <c r="O72" s="28">
        <f t="shared" ca="1" si="19"/>
        <v>13048.982148960698</v>
      </c>
      <c r="P72" s="28">
        <f t="shared" ca="1" si="19"/>
        <v>15624.737960672937</v>
      </c>
      <c r="Q72" s="28">
        <f t="shared" ca="1" si="19"/>
        <v>15751.989197786897</v>
      </c>
      <c r="R72" s="28">
        <f t="shared" ca="1" si="19"/>
        <v>11354.00842360477</v>
      </c>
      <c r="S72" s="28">
        <f t="shared" ca="1" si="19"/>
        <v>9652.4125124423299</v>
      </c>
      <c r="T72" s="28">
        <f t="shared" ca="1" si="19"/>
        <v>12399.175373884616</v>
      </c>
      <c r="U72" s="28">
        <f t="shared" ca="1" si="19"/>
        <v>13174.03970476496</v>
      </c>
      <c r="V72" s="28">
        <f t="shared" ca="1" si="19"/>
        <v>16010.781116128899</v>
      </c>
      <c r="W72" s="28">
        <f t="shared" ca="1" si="19"/>
        <v>16778.298193948576</v>
      </c>
      <c r="X72" s="28">
        <f t="shared" ca="1" si="19"/>
        <v>17785.367401588708</v>
      </c>
      <c r="Y72" s="28">
        <f t="shared" ca="1" si="19"/>
        <v>18545.315155623248</v>
      </c>
      <c r="Z72" s="28">
        <f t="shared" ca="1" si="19"/>
        <v>21571.51944776671</v>
      </c>
      <c r="AA72" s="28">
        <f t="shared" ca="1" si="19"/>
        <v>22323.669095205609</v>
      </c>
      <c r="AB72" s="28">
        <f t="shared" ca="1" si="19"/>
        <v>25449.593207043363</v>
      </c>
      <c r="AC72" s="28">
        <f t="shared" ca="1" si="19"/>
        <v>23149.30602744408</v>
      </c>
      <c r="AD72" s="28">
        <f t="shared" ca="1" si="19"/>
        <v>26378.440300760791</v>
      </c>
      <c r="AE72" s="28">
        <f t="shared" ca="1" si="19"/>
        <v>27114.279517726973</v>
      </c>
      <c r="AF72" s="28">
        <f t="shared" ca="1" si="19"/>
        <v>30450.243977138074</v>
      </c>
      <c r="AG72" s="29">
        <f ca="1">AG45+AG46+AG49</f>
        <v>41283.990051219705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5"/>
  <sheetViews>
    <sheetView showGridLines="0" tabSelected="1" zoomScaleNormal="100" workbookViewId="0">
      <selection activeCell="M9" sqref="M9"/>
    </sheetView>
  </sheetViews>
  <sheetFormatPr defaultColWidth="9" defaultRowHeight="17.399999999999999"/>
  <cols>
    <col min="1" max="1" width="2.8984375" style="9" customWidth="1"/>
    <col min="2" max="2" width="11.09765625" style="9" customWidth="1"/>
    <col min="3" max="3" width="11.59765625" style="9" customWidth="1"/>
    <col min="4" max="4" width="12.69921875" style="91" customWidth="1"/>
    <col min="5" max="5" width="7.3984375" style="91" bestFit="1" customWidth="1"/>
    <col min="6" max="6" width="3.3984375" style="9" customWidth="1"/>
    <col min="7" max="7" width="3.59765625" style="9" customWidth="1"/>
    <col min="8" max="8" width="11.59765625" style="9" customWidth="1"/>
    <col min="9" max="9" width="11.8984375" style="9" bestFit="1" customWidth="1"/>
    <col min="10" max="10" width="9.69921875" style="9" bestFit="1" customWidth="1"/>
    <col min="11" max="11" width="9" style="9"/>
    <col min="12" max="12" width="3.09765625" style="9" customWidth="1"/>
    <col min="13" max="13" width="3.59765625" style="9" customWidth="1"/>
    <col min="14" max="14" width="7.69921875" style="9" customWidth="1"/>
    <col min="15" max="15" width="12.8984375" style="9" customWidth="1"/>
    <col min="16" max="16" width="13.59765625" style="9" bestFit="1" customWidth="1"/>
    <col min="17" max="17" width="9" style="9"/>
    <col min="18" max="18" width="13" style="9" bestFit="1" customWidth="1"/>
    <col min="19" max="16384" width="9" style="9"/>
  </cols>
  <sheetData>
    <row r="1" spans="1:17">
      <c r="A1" s="34" t="s">
        <v>40</v>
      </c>
      <c r="B1" s="34" t="s">
        <v>137</v>
      </c>
      <c r="C1" s="34"/>
      <c r="D1" s="95"/>
      <c r="E1" s="95"/>
      <c r="G1" s="34" t="s">
        <v>40</v>
      </c>
      <c r="H1" s="34" t="s">
        <v>41</v>
      </c>
      <c r="I1" s="34"/>
      <c r="J1" s="95"/>
      <c r="K1" s="95"/>
      <c r="M1" s="34" t="s">
        <v>40</v>
      </c>
      <c r="N1" s="34" t="s">
        <v>42</v>
      </c>
      <c r="O1" s="34"/>
      <c r="P1" s="95"/>
      <c r="Q1" s="95"/>
    </row>
    <row r="2" spans="1:17">
      <c r="A2" s="9" t="s">
        <v>0</v>
      </c>
      <c r="C2" s="35">
        <v>320</v>
      </c>
      <c r="D2" s="82">
        <f>C2/400*121</f>
        <v>96.800000000000011</v>
      </c>
      <c r="E2" s="118" t="s">
        <v>123</v>
      </c>
      <c r="G2" s="9" t="s">
        <v>138</v>
      </c>
      <c r="I2" s="10">
        <f>J2*D2</f>
        <v>1742400.0000000002</v>
      </c>
      <c r="J2" s="83">
        <v>18000</v>
      </c>
      <c r="K2" s="96" t="s">
        <v>124</v>
      </c>
      <c r="M2" s="9" t="s">
        <v>143</v>
      </c>
      <c r="O2" s="99"/>
      <c r="P2" s="91"/>
    </row>
    <row r="3" spans="1:17">
      <c r="A3" s="9" t="s">
        <v>1</v>
      </c>
      <c r="C3" s="35">
        <v>775</v>
      </c>
      <c r="D3" s="82">
        <f t="shared" ref="D3:D7" si="0">C3/400*121</f>
        <v>234.4375</v>
      </c>
      <c r="E3" s="118" t="s">
        <v>123</v>
      </c>
      <c r="G3" s="9" t="s">
        <v>24</v>
      </c>
      <c r="I3" s="10">
        <f>I2*J3</f>
        <v>80150.400000000009</v>
      </c>
      <c r="J3" s="89">
        <v>4.5999999999999999E-2</v>
      </c>
      <c r="K3" s="96" t="s">
        <v>124</v>
      </c>
      <c r="M3" s="9" t="s">
        <v>142</v>
      </c>
      <c r="O3" s="10">
        <f>P3*C3</f>
        <v>1245425</v>
      </c>
      <c r="P3" s="83">
        <v>1607</v>
      </c>
      <c r="Q3" s="91" t="s">
        <v>135</v>
      </c>
    </row>
    <row r="4" spans="1:17">
      <c r="A4" s="9" t="s">
        <v>2</v>
      </c>
      <c r="C4" s="4">
        <v>1.95</v>
      </c>
      <c r="D4" s="82" t="s">
        <v>122</v>
      </c>
      <c r="G4" s="9" t="s">
        <v>139</v>
      </c>
      <c r="I4" s="10">
        <f>J4*D2</f>
        <v>1694000.0000000002</v>
      </c>
      <c r="J4" s="83">
        <v>17500</v>
      </c>
      <c r="K4" s="96" t="s">
        <v>124</v>
      </c>
      <c r="M4" s="9" t="s">
        <v>144</v>
      </c>
      <c r="N4" s="140"/>
      <c r="O4" s="141">
        <f>SUM(O5:O7)</f>
        <v>51360</v>
      </c>
      <c r="P4" s="135" t="s">
        <v>145</v>
      </c>
    </row>
    <row r="5" spans="1:17">
      <c r="A5" s="9" t="s">
        <v>90</v>
      </c>
      <c r="C5" s="35">
        <v>681.2</v>
      </c>
      <c r="D5" s="82">
        <f t="shared" si="0"/>
        <v>206.06300000000002</v>
      </c>
      <c r="E5" s="118" t="s">
        <v>123</v>
      </c>
      <c r="G5" s="9" t="s">
        <v>140</v>
      </c>
      <c r="I5" s="10">
        <f>I2+I3</f>
        <v>1822550.4000000001</v>
      </c>
      <c r="J5" s="83">
        <f>I5/C2*400/121</f>
        <v>18828</v>
      </c>
      <c r="K5" s="96" t="s">
        <v>124</v>
      </c>
      <c r="N5" s="142" t="s">
        <v>150</v>
      </c>
      <c r="O5" s="143">
        <f>P5*Q5</f>
        <v>3060</v>
      </c>
      <c r="P5" s="35">
        <v>30</v>
      </c>
      <c r="Q5" s="83">
        <v>102</v>
      </c>
    </row>
    <row r="6" spans="1:17">
      <c r="A6" s="9" t="s">
        <v>155</v>
      </c>
      <c r="C6" s="35">
        <v>93.8</v>
      </c>
      <c r="D6" s="82">
        <f t="shared" si="0"/>
        <v>28.374499999999998</v>
      </c>
      <c r="E6" s="118" t="s">
        <v>123</v>
      </c>
      <c r="G6" s="9" t="s">
        <v>141</v>
      </c>
      <c r="I6" s="11">
        <f>I2-I4</f>
        <v>48400</v>
      </c>
      <c r="M6" s="32"/>
      <c r="N6" s="144" t="s">
        <v>146</v>
      </c>
      <c r="O6" s="143">
        <v>38300</v>
      </c>
      <c r="P6" s="138" t="s">
        <v>186</v>
      </c>
    </row>
    <row r="7" spans="1:17">
      <c r="A7" s="9" t="s">
        <v>109</v>
      </c>
      <c r="C7" s="35">
        <v>101</v>
      </c>
      <c r="D7" s="82">
        <f t="shared" si="0"/>
        <v>30.552500000000002</v>
      </c>
      <c r="E7" s="118" t="s">
        <v>123</v>
      </c>
      <c r="G7" s="9" t="s">
        <v>166</v>
      </c>
      <c r="I7" s="13">
        <v>0.02</v>
      </c>
      <c r="N7" s="144" t="s">
        <v>149</v>
      </c>
      <c r="O7" s="143">
        <v>10000</v>
      </c>
      <c r="P7" s="139" t="s">
        <v>187</v>
      </c>
    </row>
    <row r="8" spans="1:17">
      <c r="A8" s="9" t="s">
        <v>31</v>
      </c>
      <c r="C8" s="37">
        <v>30</v>
      </c>
      <c r="G8" s="9" t="s">
        <v>185</v>
      </c>
      <c r="I8" s="11">
        <f>I4*I7</f>
        <v>33880.000000000007</v>
      </c>
      <c r="M8" s="9" t="s">
        <v>147</v>
      </c>
      <c r="O8" s="10">
        <f>(O3+O4)*(1+P8)</f>
        <v>1325443.9484999999</v>
      </c>
      <c r="P8" s="12">
        <v>2.2100000000000002E-2</v>
      </c>
    </row>
    <row r="9" spans="1:17">
      <c r="M9" s="116" t="s">
        <v>148</v>
      </c>
      <c r="N9" s="116"/>
      <c r="O9" s="11">
        <f>O8</f>
        <v>1325443.9484999999</v>
      </c>
      <c r="P9" s="138" t="s">
        <v>187</v>
      </c>
    </row>
    <row r="10" spans="1:17">
      <c r="M10" s="9" t="s">
        <v>133</v>
      </c>
      <c r="O10" s="10">
        <v>1026</v>
      </c>
      <c r="P10" s="91" t="s">
        <v>134</v>
      </c>
      <c r="Q10" s="91" t="s">
        <v>135</v>
      </c>
    </row>
    <row r="11" spans="1:17">
      <c r="O11" s="10"/>
      <c r="P11" s="91"/>
      <c r="Q11" s="91"/>
    </row>
    <row r="12" spans="1:17" s="109" customFormat="1">
      <c r="D12" s="146"/>
      <c r="E12" s="146"/>
      <c r="O12" s="147"/>
      <c r="P12" s="146"/>
      <c r="Q12" s="146"/>
    </row>
    <row r="14" spans="1:17">
      <c r="A14" s="34" t="s">
        <v>40</v>
      </c>
      <c r="B14" s="34" t="s">
        <v>43</v>
      </c>
      <c r="C14" s="34"/>
      <c r="D14" s="95"/>
      <c r="E14" s="95"/>
      <c r="G14" s="34" t="s">
        <v>40</v>
      </c>
      <c r="H14" s="34" t="s">
        <v>159</v>
      </c>
      <c r="I14" s="34"/>
      <c r="J14" s="95"/>
      <c r="K14" s="95"/>
      <c r="M14" s="34" t="s">
        <v>40</v>
      </c>
      <c r="N14" s="34" t="s">
        <v>160</v>
      </c>
      <c r="O14" s="34"/>
      <c r="P14" s="95"/>
      <c r="Q14" s="95"/>
    </row>
    <row r="15" spans="1:17">
      <c r="A15" s="9" t="s">
        <v>4</v>
      </c>
      <c r="C15" s="7">
        <f>I6+I8+O9</f>
        <v>1407723.9484999999</v>
      </c>
      <c r="D15" s="85"/>
      <c r="E15" s="85"/>
      <c r="G15" s="9" t="s">
        <v>29</v>
      </c>
      <c r="I15" s="9">
        <f>시설개요!C20</f>
        <v>16</v>
      </c>
      <c r="J15" s="92"/>
      <c r="K15" s="92"/>
      <c r="M15" s="9" t="s">
        <v>30</v>
      </c>
      <c r="O15" s="35">
        <f>C6</f>
        <v>93.8</v>
      </c>
      <c r="P15" s="82">
        <f>O15/400*121</f>
        <v>28.374499999999998</v>
      </c>
      <c r="Q15" s="118" t="s">
        <v>123</v>
      </c>
    </row>
    <row r="16" spans="1:17">
      <c r="A16" s="90" t="s">
        <v>126</v>
      </c>
      <c r="C16" s="10">
        <f>C15-C17</f>
        <v>285151.72147241281</v>
      </c>
      <c r="D16" s="84"/>
      <c r="E16" s="85"/>
      <c r="G16" s="9" t="s">
        <v>32</v>
      </c>
      <c r="I16" s="10">
        <f>시설개요!R20</f>
        <v>2630980</v>
      </c>
      <c r="J16" s="83">
        <f>I16/I15</f>
        <v>164436.25</v>
      </c>
      <c r="K16" s="83" t="s">
        <v>125</v>
      </c>
      <c r="M16" s="9" t="s">
        <v>32</v>
      </c>
      <c r="O16" s="10">
        <f>시설개요!R25</f>
        <v>177000</v>
      </c>
      <c r="P16" s="83" t="s">
        <v>128</v>
      </c>
    </row>
    <row r="17" spans="1:20">
      <c r="A17" s="90" t="s">
        <v>127</v>
      </c>
      <c r="C17" s="7">
        <f>C22</f>
        <v>1122572.2270275871</v>
      </c>
      <c r="D17" s="84">
        <v>0.9</v>
      </c>
      <c r="E17" s="85"/>
      <c r="G17" s="9" t="s">
        <v>154</v>
      </c>
      <c r="I17" s="11">
        <f>시설개요!V20</f>
        <v>3288725</v>
      </c>
      <c r="J17" s="83">
        <f>I17/I15</f>
        <v>205545.3125</v>
      </c>
      <c r="K17" s="83" t="s">
        <v>125</v>
      </c>
      <c r="M17" s="80" t="s">
        <v>156</v>
      </c>
      <c r="N17" s="79"/>
      <c r="O17" s="148">
        <f>시설개요!V25</f>
        <v>221250</v>
      </c>
      <c r="P17" s="36"/>
    </row>
    <row r="18" spans="1:20">
      <c r="A18" s="90"/>
      <c r="C18" s="7"/>
      <c r="D18" s="84"/>
      <c r="E18" s="85"/>
      <c r="G18" s="9" t="s">
        <v>36</v>
      </c>
      <c r="I18" s="10">
        <f>I16*J18</f>
        <v>2104784</v>
      </c>
      <c r="J18" s="84">
        <v>0.8</v>
      </c>
      <c r="K18" s="93"/>
      <c r="M18" s="9" t="s">
        <v>5</v>
      </c>
      <c r="O18" s="10">
        <v>14160</v>
      </c>
      <c r="P18" s="96"/>
    </row>
    <row r="19" spans="1:20">
      <c r="A19" s="149" t="s">
        <v>161</v>
      </c>
      <c r="B19" s="140" t="s">
        <v>157</v>
      </c>
      <c r="C19" s="140"/>
      <c r="D19" s="149"/>
      <c r="E19" s="149"/>
      <c r="G19" s="9" t="s">
        <v>33</v>
      </c>
      <c r="I19" s="13">
        <v>0.4</v>
      </c>
      <c r="J19" s="91"/>
      <c r="K19" s="91"/>
      <c r="M19" s="9" t="s">
        <v>39</v>
      </c>
      <c r="O19" s="10">
        <f>P19*12</f>
        <v>6600</v>
      </c>
      <c r="P19" s="94">
        <v>550</v>
      </c>
    </row>
    <row r="20" spans="1:20">
      <c r="A20" s="87" t="s">
        <v>204</v>
      </c>
      <c r="C20" s="10">
        <f>O9*C5/C3</f>
        <v>1165022.4744750967</v>
      </c>
      <c r="D20" s="9"/>
      <c r="E20" s="9"/>
      <c r="G20" s="9" t="s">
        <v>35</v>
      </c>
      <c r="I20" s="4">
        <v>5.0999999999999997E-2</v>
      </c>
      <c r="J20" s="138" t="s">
        <v>162</v>
      </c>
      <c r="K20" s="91"/>
      <c r="M20" s="9" t="s">
        <v>167</v>
      </c>
      <c r="N20" s="10"/>
      <c r="O20" s="4">
        <v>0.03</v>
      </c>
      <c r="P20" s="97">
        <v>2</v>
      </c>
      <c r="R20" s="7"/>
      <c r="S20" s="83"/>
      <c r="T20" s="96"/>
    </row>
    <row r="21" spans="1:20">
      <c r="A21" s="87" t="s">
        <v>205</v>
      </c>
      <c r="C21" s="10">
        <f>I6+I8</f>
        <v>82280</v>
      </c>
      <c r="G21" s="9" t="s">
        <v>34</v>
      </c>
      <c r="I21" s="7">
        <f>I18*I19</f>
        <v>841913.60000000009</v>
      </c>
      <c r="J21" s="150">
        <f>I21/I15</f>
        <v>52619.600000000006</v>
      </c>
      <c r="K21" s="119" t="s">
        <v>125</v>
      </c>
      <c r="N21" s="13"/>
      <c r="O21" s="91"/>
      <c r="P21" s="91"/>
    </row>
    <row r="22" spans="1:20">
      <c r="A22" s="9" t="s">
        <v>206</v>
      </c>
      <c r="C22" s="86">
        <f>(C20+C21)*D22</f>
        <v>1122572.2270275871</v>
      </c>
      <c r="D22" s="84">
        <v>0.9</v>
      </c>
      <c r="E22" s="83"/>
      <c r="G22" s="9" t="s">
        <v>37</v>
      </c>
      <c r="I22" s="6">
        <f>(I18-I21)*I20</f>
        <v>64406.390399999989</v>
      </c>
      <c r="J22" s="151">
        <f>I22/I15/12</f>
        <v>335.44994999999994</v>
      </c>
      <c r="K22" s="94" t="s">
        <v>125</v>
      </c>
    </row>
    <row r="23" spans="1:20">
      <c r="A23" s="87" t="s">
        <v>158</v>
      </c>
      <c r="B23" s="87"/>
      <c r="C23" s="8">
        <f>SUM(C24:C25)</f>
        <v>3.7500000000000006E-2</v>
      </c>
      <c r="D23" s="9"/>
      <c r="E23" s="9"/>
      <c r="G23" s="9" t="s">
        <v>38</v>
      </c>
      <c r="I23" s="13">
        <v>0.05</v>
      </c>
      <c r="K23" s="91"/>
    </row>
    <row r="24" spans="1:20">
      <c r="A24" s="88"/>
      <c r="B24" s="136" t="s">
        <v>151</v>
      </c>
      <c r="C24" s="145">
        <v>1.7000000000000001E-2</v>
      </c>
      <c r="D24" s="9"/>
      <c r="E24" s="9"/>
      <c r="G24" s="9" t="s">
        <v>163</v>
      </c>
      <c r="I24" s="4">
        <v>0.03</v>
      </c>
      <c r="J24" s="97">
        <v>2</v>
      </c>
    </row>
    <row r="25" spans="1:20">
      <c r="B25" s="137" t="s">
        <v>152</v>
      </c>
      <c r="C25" s="145">
        <v>2.0500000000000001E-2</v>
      </c>
      <c r="G25" s="9" t="s">
        <v>165</v>
      </c>
      <c r="I25" s="4">
        <v>1.4999999999999999E-2</v>
      </c>
      <c r="J25" s="97">
        <v>1</v>
      </c>
    </row>
    <row r="26" spans="1:20">
      <c r="B26" s="137" t="s">
        <v>153</v>
      </c>
      <c r="C26" s="145">
        <v>1E-3</v>
      </c>
      <c r="G26" s="9" t="s">
        <v>164</v>
      </c>
      <c r="H26" s="137"/>
      <c r="I26" s="4">
        <v>1.4999999999999999E-2</v>
      </c>
    </row>
    <row r="27" spans="1:20">
      <c r="G27" s="9" t="s">
        <v>15</v>
      </c>
      <c r="H27" s="137"/>
      <c r="I27" s="10">
        <f>J27*12*I15</f>
        <v>1920</v>
      </c>
      <c r="J27" s="94">
        <v>10</v>
      </c>
      <c r="K27" s="91" t="s">
        <v>125</v>
      </c>
    </row>
    <row r="28" spans="1:20">
      <c r="G28" s="9" t="s">
        <v>136</v>
      </c>
      <c r="I28" s="10">
        <f>J28*I15</f>
        <v>10416</v>
      </c>
      <c r="J28" s="120">
        <f>217*3</f>
        <v>651</v>
      </c>
      <c r="K28" s="98" t="s">
        <v>125</v>
      </c>
    </row>
    <row r="29" spans="1:20">
      <c r="B29" s="137"/>
      <c r="C29" s="145"/>
      <c r="D29" s="9"/>
      <c r="E29" s="9"/>
      <c r="H29" s="137"/>
      <c r="I29" s="145"/>
    </row>
    <row r="30" spans="1:20" s="109" customFormat="1">
      <c r="B30" s="152"/>
      <c r="C30" s="153"/>
      <c r="H30" s="152"/>
      <c r="I30" s="153"/>
    </row>
    <row r="31" spans="1:20">
      <c r="A31" s="126"/>
      <c r="B31" s="126"/>
      <c r="C31" s="129"/>
      <c r="D31" s="130"/>
      <c r="E31" s="82"/>
    </row>
    <row r="32" spans="1:20">
      <c r="A32" s="126"/>
      <c r="B32" s="126"/>
      <c r="C32" s="128"/>
      <c r="D32" s="131"/>
      <c r="E32" s="86"/>
    </row>
    <row r="33" spans="1:5">
      <c r="A33" s="126"/>
      <c r="B33" s="126"/>
      <c r="C33" s="132"/>
      <c r="D33" s="130"/>
      <c r="E33" s="82"/>
    </row>
    <row r="34" spans="1:5">
      <c r="A34" s="126"/>
      <c r="B34" s="126"/>
      <c r="C34" s="133"/>
      <c r="D34" s="134"/>
      <c r="E34" s="30"/>
    </row>
    <row r="35" spans="1:5">
      <c r="A35" s="126"/>
      <c r="B35" s="126"/>
      <c r="C35" s="126"/>
      <c r="D35" s="134"/>
      <c r="E35" s="30"/>
    </row>
    <row r="36" spans="1:5">
      <c r="A36" s="126"/>
      <c r="B36" s="126"/>
      <c r="C36" s="126"/>
      <c r="D36" s="134"/>
      <c r="E36" s="30"/>
    </row>
    <row r="37" spans="1:5">
      <c r="A37" s="126"/>
      <c r="B37" s="126"/>
      <c r="C37" s="127"/>
      <c r="D37" s="134"/>
      <c r="E37" s="30"/>
    </row>
    <row r="38" spans="1:5">
      <c r="A38" s="126"/>
      <c r="B38" s="126"/>
      <c r="C38" s="127"/>
      <c r="D38" s="134"/>
      <c r="E38" s="30"/>
    </row>
    <row r="39" spans="1:5">
      <c r="A39" s="126"/>
      <c r="B39" s="126"/>
      <c r="C39" s="127"/>
      <c r="D39" s="134"/>
      <c r="E39" s="30"/>
    </row>
    <row r="40" spans="1:5">
      <c r="A40" s="126"/>
      <c r="B40" s="126"/>
      <c r="C40" s="128"/>
      <c r="D40" s="134"/>
    </row>
    <row r="41" spans="1:5">
      <c r="A41" s="126"/>
      <c r="B41" s="126"/>
      <c r="C41" s="133"/>
      <c r="D41" s="134"/>
    </row>
    <row r="44" spans="1:5">
      <c r="C44" s="6"/>
    </row>
    <row r="45" spans="1:5">
      <c r="C45" s="124"/>
    </row>
  </sheetData>
  <phoneticPr fontId="2" type="noConversion"/>
  <dataValidations disablePrompts="1" count="1">
    <dataValidation type="list" allowBlank="1" showInputMessage="1" showErrorMessage="1" sqref="O2">
      <formula1>"다가구주택,다세대주택,연립주택,아파트,기숙사"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85"/>
  <sheetViews>
    <sheetView showGridLines="0" zoomScaleNormal="100" workbookViewId="0">
      <selection activeCell="D18" sqref="D18"/>
    </sheetView>
  </sheetViews>
  <sheetFormatPr defaultColWidth="9" defaultRowHeight="17.399999999999999"/>
  <cols>
    <col min="1" max="1" width="10.19921875" style="9" bestFit="1" customWidth="1"/>
    <col min="2" max="2" width="14.19921875" style="9" bestFit="1" customWidth="1"/>
    <col min="3" max="3" width="9" style="9" customWidth="1"/>
    <col min="4" max="4" width="9" style="9" bestFit="1" customWidth="1"/>
    <col min="5" max="5" width="11.5" style="10" bestFit="1" customWidth="1"/>
    <col min="6" max="6" width="11.5" style="9" bestFit="1" customWidth="1"/>
    <col min="7" max="7" width="3" style="32" customWidth="1"/>
    <col min="8" max="8" width="12" style="9" bestFit="1" customWidth="1"/>
    <col min="9" max="9" width="13" style="9" bestFit="1" customWidth="1"/>
    <col min="10" max="10" width="3.09765625" style="32" customWidth="1"/>
    <col min="11" max="11" width="12.59765625" style="9" customWidth="1"/>
    <col min="12" max="12" width="13" style="9" bestFit="1" customWidth="1"/>
    <col min="13" max="14" width="9" style="9" bestFit="1" customWidth="1"/>
    <col min="15" max="15" width="6.69921875" style="9" bestFit="1" customWidth="1"/>
    <col min="16" max="16" width="9" style="9" bestFit="1" customWidth="1"/>
    <col min="17" max="17" width="4.59765625" style="32" customWidth="1"/>
    <col min="18" max="18" width="14.3984375" style="9" bestFit="1" customWidth="1"/>
    <col min="19" max="19" width="11.5" style="9" bestFit="1" customWidth="1"/>
    <col min="20" max="20" width="11.5" style="9" customWidth="1"/>
    <col min="21" max="21" width="11" style="9" bestFit="1" customWidth="1"/>
    <col min="22" max="22" width="11.5" style="9" bestFit="1" customWidth="1"/>
    <col min="23" max="23" width="3.5" style="32" customWidth="1"/>
    <col min="24" max="24" width="9" style="9"/>
    <col min="25" max="25" width="13" style="9" bestFit="1" customWidth="1"/>
    <col min="26" max="27" width="9" style="9"/>
    <col min="28" max="28" width="9" style="9" bestFit="1" customWidth="1"/>
    <col min="29" max="32" width="9" style="9"/>
    <col min="33" max="33" width="3.09765625" style="32" customWidth="1"/>
    <col min="34" max="34" width="13.69921875" style="9" bestFit="1" customWidth="1"/>
    <col min="35" max="35" width="7.09765625" style="9" bestFit="1" customWidth="1"/>
    <col min="36" max="37" width="9" style="9"/>
    <col min="38" max="38" width="2.3984375" style="32" customWidth="1"/>
    <col min="39" max="39" width="12.5" style="9" customWidth="1"/>
    <col min="40" max="40" width="3.3984375" style="32" customWidth="1"/>
    <col min="41" max="41" width="12" style="9" customWidth="1"/>
    <col min="42" max="42" width="11" style="9" bestFit="1" customWidth="1"/>
    <col min="43" max="43" width="15.09765625" style="9" bestFit="1" customWidth="1"/>
    <col min="44" max="50" width="9" style="9"/>
    <col min="51" max="51" width="4.19921875" style="9" customWidth="1"/>
    <col min="52" max="52" width="11.59765625" style="9" bestFit="1" customWidth="1"/>
    <col min="53" max="53" width="11.59765625" style="9" customWidth="1"/>
    <col min="54" max="54" width="11" style="9" bestFit="1" customWidth="1"/>
    <col min="55" max="56" width="15.09765625" style="9" bestFit="1" customWidth="1"/>
    <col min="57" max="60" width="9" style="9"/>
    <col min="61" max="61" width="4.59765625" style="9" customWidth="1"/>
    <col min="62" max="62" width="13" style="9" customWidth="1"/>
    <col min="63" max="63" width="12.59765625" style="9" bestFit="1" customWidth="1"/>
    <col min="64" max="64" width="9" style="9" bestFit="1" customWidth="1"/>
    <col min="65" max="65" width="11" style="9" bestFit="1" customWidth="1"/>
    <col min="66" max="66" width="13" style="9" bestFit="1" customWidth="1"/>
    <col min="67" max="67" width="23.19921875" style="9" bestFit="1" customWidth="1"/>
    <col min="68" max="68" width="9" style="9" bestFit="1" customWidth="1"/>
    <col min="69" max="16384" width="9" style="9"/>
  </cols>
  <sheetData>
    <row r="1" spans="1:68">
      <c r="A1" s="32" t="s">
        <v>120</v>
      </c>
      <c r="B1" s="32"/>
      <c r="C1" s="32"/>
      <c r="D1" s="32"/>
    </row>
    <row r="2" spans="1:68">
      <c r="A2" s="59" t="s">
        <v>99</v>
      </c>
      <c r="B2" s="34"/>
      <c r="C2" s="34"/>
      <c r="D2" s="34"/>
      <c r="E2" s="28"/>
      <c r="F2" s="34"/>
      <c r="H2" s="59" t="s">
        <v>100</v>
      </c>
      <c r="I2" s="34"/>
      <c r="K2" s="34" t="s">
        <v>103</v>
      </c>
      <c r="L2" s="34"/>
      <c r="M2" s="34"/>
      <c r="N2" s="34"/>
      <c r="O2" s="34"/>
      <c r="P2" s="34"/>
      <c r="R2" s="32" t="s">
        <v>104</v>
      </c>
      <c r="S2" s="32"/>
      <c r="T2" s="32"/>
      <c r="U2" s="32"/>
      <c r="V2" s="32"/>
      <c r="X2" s="53" t="s">
        <v>105</v>
      </c>
      <c r="Y2" s="33"/>
      <c r="Z2" s="33"/>
      <c r="AA2" s="33"/>
      <c r="AB2" s="33"/>
      <c r="AC2" s="33"/>
      <c r="AD2" s="33"/>
      <c r="AE2" s="33"/>
      <c r="AF2" s="33"/>
      <c r="AG2" s="33"/>
      <c r="AH2" s="53" t="s">
        <v>106</v>
      </c>
      <c r="AI2" s="1"/>
      <c r="AJ2" s="1"/>
      <c r="AK2" s="1"/>
      <c r="AL2" s="33"/>
      <c r="AM2" s="53" t="s">
        <v>107</v>
      </c>
      <c r="AO2" s="53" t="s">
        <v>108</v>
      </c>
      <c r="AZ2" s="53" t="s">
        <v>111</v>
      </c>
      <c r="BA2" s="53"/>
      <c r="BJ2" s="9" t="s">
        <v>56</v>
      </c>
    </row>
    <row r="3" spans="1:68">
      <c r="A3" s="50" t="s">
        <v>45</v>
      </c>
      <c r="B3" s="50" t="s">
        <v>47</v>
      </c>
      <c r="C3" s="50" t="s">
        <v>46</v>
      </c>
      <c r="D3" s="50" t="s">
        <v>48</v>
      </c>
      <c r="E3" s="174" t="s">
        <v>200</v>
      </c>
      <c r="F3" s="55" t="s">
        <v>89</v>
      </c>
      <c r="H3" s="55" t="s">
        <v>101</v>
      </c>
      <c r="I3" s="55" t="s">
        <v>102</v>
      </c>
      <c r="K3" s="55" t="s">
        <v>102</v>
      </c>
      <c r="L3" s="55" t="s">
        <v>95</v>
      </c>
      <c r="M3" s="55" t="s">
        <v>91</v>
      </c>
      <c r="N3" s="55" t="s">
        <v>92</v>
      </c>
      <c r="O3" s="55" t="s">
        <v>93</v>
      </c>
      <c r="P3" s="55" t="s">
        <v>94</v>
      </c>
      <c r="R3" s="52" t="s">
        <v>32</v>
      </c>
      <c r="S3" s="51" t="s">
        <v>189</v>
      </c>
      <c r="T3" s="51" t="s">
        <v>34</v>
      </c>
      <c r="U3" s="51" t="s">
        <v>50</v>
      </c>
      <c r="V3" s="51" t="s">
        <v>51</v>
      </c>
      <c r="W3" s="33"/>
      <c r="X3" s="51" t="s">
        <v>52</v>
      </c>
      <c r="Y3" s="51" t="s">
        <v>53</v>
      </c>
      <c r="Z3" s="51" t="s">
        <v>55</v>
      </c>
      <c r="AA3" s="51" t="s">
        <v>64</v>
      </c>
      <c r="AB3" s="51" t="s">
        <v>65</v>
      </c>
      <c r="AC3" s="51" t="s">
        <v>67</v>
      </c>
      <c r="AD3" s="51" t="s">
        <v>69</v>
      </c>
      <c r="AE3" s="51" t="s">
        <v>83</v>
      </c>
      <c r="AF3" s="51" t="s">
        <v>85</v>
      </c>
      <c r="AG3" s="33"/>
      <c r="AH3" s="51" t="s">
        <v>66</v>
      </c>
      <c r="AI3" s="51" t="s">
        <v>68</v>
      </c>
      <c r="AJ3" s="51" t="s">
        <v>82</v>
      </c>
      <c r="AK3" s="51" t="s">
        <v>84</v>
      </c>
      <c r="AL3" s="33"/>
      <c r="AM3" s="51" t="s">
        <v>67</v>
      </c>
      <c r="AO3" s="72" t="s">
        <v>54</v>
      </c>
      <c r="AP3" s="72" t="s">
        <v>86</v>
      </c>
      <c r="AQ3" s="51" t="s">
        <v>87</v>
      </c>
      <c r="AR3" s="72" t="s">
        <v>88</v>
      </c>
      <c r="AS3" s="72" t="s">
        <v>63</v>
      </c>
      <c r="AT3" s="72" t="s">
        <v>60</v>
      </c>
      <c r="AU3" s="72" t="s">
        <v>66</v>
      </c>
      <c r="AV3" s="72" t="s">
        <v>68</v>
      </c>
      <c r="AW3" s="72" t="s">
        <v>82</v>
      </c>
      <c r="AX3" s="72" t="s">
        <v>84</v>
      </c>
      <c r="AY3" s="32"/>
      <c r="AZ3" s="51" t="s">
        <v>16</v>
      </c>
      <c r="BA3" s="51" t="s">
        <v>112</v>
      </c>
      <c r="BB3" s="72" t="s">
        <v>113</v>
      </c>
      <c r="BC3" s="51" t="s">
        <v>114</v>
      </c>
      <c r="BD3" s="78" t="s">
        <v>115</v>
      </c>
      <c r="BE3" s="78" t="s">
        <v>117</v>
      </c>
      <c r="BF3" s="78" t="s">
        <v>118</v>
      </c>
      <c r="BG3" s="78" t="s">
        <v>110</v>
      </c>
      <c r="BH3" s="78" t="s">
        <v>116</v>
      </c>
      <c r="BJ3" s="46" t="s">
        <v>57</v>
      </c>
      <c r="BK3" s="46" t="s">
        <v>58</v>
      </c>
      <c r="BL3" s="46" t="s">
        <v>59</v>
      </c>
      <c r="BM3" s="46" t="s">
        <v>60</v>
      </c>
      <c r="BN3" s="46" t="s">
        <v>61</v>
      </c>
      <c r="BO3" s="46" t="s">
        <v>62</v>
      </c>
      <c r="BP3" s="46" t="s">
        <v>60</v>
      </c>
    </row>
    <row r="4" spans="1:68">
      <c r="A4" s="1" t="s">
        <v>190</v>
      </c>
      <c r="B4" s="1">
        <v>201</v>
      </c>
      <c r="C4" s="1">
        <v>1</v>
      </c>
      <c r="D4" s="39">
        <v>24.56</v>
      </c>
      <c r="E4" s="39">
        <v>37.661731625615758</v>
      </c>
      <c r="F4" s="39">
        <v>16.640914820817574</v>
      </c>
      <c r="H4" s="54">
        <v>2141</v>
      </c>
      <c r="I4" s="6">
        <f t="shared" ref="I4:I19" si="0">F4*H4</f>
        <v>35628.198631370426</v>
      </c>
      <c r="K4" s="6">
        <f t="shared" ref="K4:K19" si="1">L4*E4</f>
        <v>28261.363411862072</v>
      </c>
      <c r="L4" s="6">
        <f t="shared" ref="L4:L19" si="2">M4*N4*O4*P4</f>
        <v>750.4000000000002</v>
      </c>
      <c r="M4" s="6">
        <v>670</v>
      </c>
      <c r="N4" s="38">
        <v>1</v>
      </c>
      <c r="O4" s="38">
        <v>1</v>
      </c>
      <c r="P4" s="6">
        <f t="shared" ref="P4:P19" si="3">SUMPRODUCT(($BJ$40:$BJ$65&lt;H4)*(H4&lt;=$BK$40:$BK$65)*$BL$40:$BL$65)</f>
        <v>1.1200000000000003</v>
      </c>
      <c r="R4" s="10">
        <v>146275</v>
      </c>
      <c r="S4" s="10">
        <f>R4*사업개요!$J$18</f>
        <v>117020</v>
      </c>
      <c r="T4" s="10">
        <f>ROUND(S4*사업개요!$I$19,-3)</f>
        <v>47000</v>
      </c>
      <c r="U4" s="10">
        <f>ROUND((S4-T4)*사업개요!$I$20/12,0)</f>
        <v>298</v>
      </c>
      <c r="V4" s="10">
        <v>182843.75</v>
      </c>
      <c r="W4" s="31"/>
      <c r="X4" s="13">
        <v>0.8</v>
      </c>
      <c r="Y4" s="13">
        <v>0.7</v>
      </c>
      <c r="Z4" s="11">
        <f t="shared" ref="Z4:Z19" si="4">V4*X4*Y4</f>
        <v>102392.5</v>
      </c>
      <c r="AA4" s="8">
        <f t="shared" ref="AA4:AA19" si="5">SUMPRODUCT(($BJ$4:$BJ$7&lt;Z4)*(Z4&lt;=$BK$4:$BK$7)*$BL$4:$BL$7)</f>
        <v>1.5E-3</v>
      </c>
      <c r="AB4" s="45">
        <f t="shared" ref="AB4:AB19" si="6">SUMPRODUCT(($BJ$4:$BJ$7&lt;Z4)*(Z4&lt;=$BK$4:$BK$7)*$BM$4:$BM$7)</f>
        <v>30</v>
      </c>
      <c r="AC4" s="6">
        <f>Z4*AA4-AB4</f>
        <v>123.58875</v>
      </c>
      <c r="AD4" s="13">
        <f t="shared" ref="AD4:AD19" si="7">SUMPRODUCT(($BJ$27:$BJ$30&lt;D4)*(D4&lt;=$BK$27:$BK$30)*$BL$27:$BL$30)</f>
        <v>1</v>
      </c>
      <c r="AE4" s="10">
        <f>AC4*AD4</f>
        <v>123.58875</v>
      </c>
      <c r="AF4" s="11">
        <f>AC4-AE4</f>
        <v>0</v>
      </c>
      <c r="AH4" s="11">
        <f>Z4*1.4/1000</f>
        <v>143.34950000000001</v>
      </c>
      <c r="AI4" s="13">
        <f>AD4</f>
        <v>1</v>
      </c>
      <c r="AJ4" s="11">
        <f>AH4*AI4</f>
        <v>143.34950000000001</v>
      </c>
      <c r="AK4" s="11">
        <f>AH4-AJ4</f>
        <v>0</v>
      </c>
      <c r="AM4" s="11">
        <f>AF4*20%</f>
        <v>0</v>
      </c>
      <c r="AO4" s="10">
        <f>AP4*Y4*(0.5*AQ4+AR4)</f>
        <v>18493.871553968838</v>
      </c>
      <c r="AP4" s="10">
        <f>K4</f>
        <v>28261.363411862072</v>
      </c>
      <c r="AQ4" s="15">
        <f>사업개요!$C$7/사업개요!$C$3</f>
        <v>0.13032258064516128</v>
      </c>
      <c r="AR4" s="5">
        <f>1-AQ4</f>
        <v>0.86967741935483867</v>
      </c>
      <c r="AS4" s="12">
        <f t="shared" ref="AS4:AS19" si="8">SUMPRODUCT(($BJ$11:$BJ$16&lt;AO4)*(AO4&lt;=$BK$11:$BK$16)*$BL$11:$BL$16)</f>
        <v>5.9999999999999995E-4</v>
      </c>
      <c r="AT4" s="9">
        <f t="shared" ref="AT4:AT19" si="9">SUMPRODUCT(($BJ$11:$BJ$16&lt;AO4)*(AO4&lt;=$BK$11:$BK$16)*$BM$11:$BM$16)</f>
        <v>1.899999999999999</v>
      </c>
      <c r="AU4" s="10">
        <f>AO4*AS4-AT4</f>
        <v>9.1963229323813032</v>
      </c>
      <c r="AV4" s="5">
        <f t="shared" ref="AV4:AV19" si="10">SUMPRODUCT(($BJ$27:$BJ$30&lt;D4)*(D4&lt;=$BK$27:$BK$30)*$BN$27:$BN$30)</f>
        <v>1</v>
      </c>
      <c r="AW4" s="10">
        <f>AU4*AV4</f>
        <v>9.1963229323813032</v>
      </c>
      <c r="AX4" s="10">
        <f>AU4-AW4</f>
        <v>0</v>
      </c>
      <c r="AY4" s="10"/>
      <c r="AZ4" s="10">
        <f>AF4</f>
        <v>0</v>
      </c>
      <c r="BA4" s="76">
        <f>(AD4=1)*AE4*0.15</f>
        <v>18.5383125</v>
      </c>
      <c r="BB4" s="10">
        <f>AK4</f>
        <v>0</v>
      </c>
      <c r="BC4" s="10">
        <f>AM4</f>
        <v>0</v>
      </c>
      <c r="BD4" s="10">
        <f>AX4</f>
        <v>0</v>
      </c>
      <c r="BE4" s="10">
        <f>SUM(AZ4:BD4)</f>
        <v>18.5383125</v>
      </c>
      <c r="BF4" s="10">
        <f>AC4+AH4+AU4+AM4</f>
        <v>276.13457293238133</v>
      </c>
      <c r="BG4" s="10">
        <f>BF4*I4/(I4+K4)</f>
        <v>153.98724140206616</v>
      </c>
      <c r="BH4" s="10">
        <f>BE4*K4/(I4+K4)</f>
        <v>8.2003690407306742</v>
      </c>
      <c r="BJ4" s="42"/>
      <c r="BK4" s="42">
        <v>60000</v>
      </c>
      <c r="BL4" s="40">
        <v>1E-3</v>
      </c>
      <c r="BM4" s="43">
        <v>0</v>
      </c>
      <c r="BN4" s="40"/>
      <c r="BO4" s="41"/>
      <c r="BP4" s="41"/>
    </row>
    <row r="5" spans="1:68">
      <c r="A5" s="1" t="s">
        <v>190</v>
      </c>
      <c r="B5" s="1">
        <v>202</v>
      </c>
      <c r="C5" s="1">
        <v>1</v>
      </c>
      <c r="D5" s="39">
        <v>28.62</v>
      </c>
      <c r="E5" s="39">
        <v>43.887571625615763</v>
      </c>
      <c r="F5" s="39">
        <v>19.391815235008107</v>
      </c>
      <c r="H5" s="54">
        <v>2141</v>
      </c>
      <c r="I5" s="6">
        <f t="shared" si="0"/>
        <v>41517.876418152358</v>
      </c>
      <c r="K5" s="6">
        <f t="shared" si="1"/>
        <v>32933.233747862076</v>
      </c>
      <c r="L5" s="6">
        <f t="shared" si="2"/>
        <v>750.4000000000002</v>
      </c>
      <c r="M5" s="6">
        <v>670</v>
      </c>
      <c r="N5" s="38">
        <f>N4</f>
        <v>1</v>
      </c>
      <c r="O5" s="38">
        <v>1</v>
      </c>
      <c r="P5" s="6">
        <f t="shared" si="3"/>
        <v>1.1200000000000003</v>
      </c>
      <c r="R5" s="10">
        <v>170392</v>
      </c>
      <c r="S5" s="10">
        <f>R5*사업개요!$J$18</f>
        <v>136313.60000000001</v>
      </c>
      <c r="T5" s="10">
        <f>ROUND(S5*사업개요!$I$19,-3)</f>
        <v>55000</v>
      </c>
      <c r="U5" s="10">
        <f>ROUND((S5-T5)*사업개요!$I$20/12,0)</f>
        <v>346</v>
      </c>
      <c r="V5" s="10">
        <v>212990</v>
      </c>
      <c r="W5" s="31"/>
      <c r="X5" s="13">
        <v>0.8</v>
      </c>
      <c r="Y5" s="13">
        <v>0.7</v>
      </c>
      <c r="Z5" s="11">
        <f t="shared" si="4"/>
        <v>119274.4</v>
      </c>
      <c r="AA5" s="8">
        <f t="shared" si="5"/>
        <v>1.5E-3</v>
      </c>
      <c r="AB5" s="45">
        <f t="shared" si="6"/>
        <v>30</v>
      </c>
      <c r="AC5" s="6">
        <f t="shared" ref="AC5:AC19" si="11">Z5*AA5-AB5</f>
        <v>148.91159999999999</v>
      </c>
      <c r="AD5" s="13">
        <f t="shared" si="7"/>
        <v>1</v>
      </c>
      <c r="AE5" s="10">
        <f t="shared" ref="AE5:AE19" si="12">AC5*AD5</f>
        <v>148.91159999999999</v>
      </c>
      <c r="AF5" s="11">
        <f t="shared" ref="AF5:AF19" si="13">AC5-AE5</f>
        <v>0</v>
      </c>
      <c r="AH5" s="11">
        <f t="shared" ref="AH5:AH19" si="14">Z5*1.4/1000</f>
        <v>166.98415999999997</v>
      </c>
      <c r="AI5" s="13">
        <f t="shared" ref="AI5:AI19" si="15">AD5</f>
        <v>1</v>
      </c>
      <c r="AJ5" s="11">
        <f t="shared" ref="AJ5:AJ19" si="16">AH5*AI5</f>
        <v>166.98415999999997</v>
      </c>
      <c r="AK5" s="11">
        <f t="shared" ref="AK5:AK19" si="17">AH5-AJ5</f>
        <v>0</v>
      </c>
      <c r="AM5" s="11">
        <f t="shared" ref="AM5:AM19" si="18">AF5*20%</f>
        <v>0</v>
      </c>
      <c r="AO5" s="10">
        <f t="shared" ref="AO5:AO19" si="19">AP5*Y5*(0.5*AQ5+AR5)</f>
        <v>21551.083219649354</v>
      </c>
      <c r="AP5" s="10">
        <f t="shared" ref="AP5:AP19" si="20">K5</f>
        <v>32933.233747862076</v>
      </c>
      <c r="AQ5" s="15">
        <f>사업개요!$C$7/사업개요!$C$3</f>
        <v>0.13032258064516128</v>
      </c>
      <c r="AR5" s="5">
        <f t="shared" ref="AR5:AR19" si="21">1-AQ5</f>
        <v>0.86967741935483867</v>
      </c>
      <c r="AS5" s="12">
        <f t="shared" si="8"/>
        <v>5.9999999999999995E-4</v>
      </c>
      <c r="AT5" s="9">
        <f t="shared" si="9"/>
        <v>1.899999999999999</v>
      </c>
      <c r="AU5" s="10">
        <f t="shared" ref="AU5:AU19" si="22">AO5*AS5-AT5</f>
        <v>11.030649931789613</v>
      </c>
      <c r="AV5" s="5">
        <f t="shared" si="10"/>
        <v>1</v>
      </c>
      <c r="AW5" s="10">
        <f t="shared" ref="AW5:AW19" si="23">AU5*AV5</f>
        <v>11.030649931789613</v>
      </c>
      <c r="AX5" s="10">
        <f t="shared" ref="AX5:AX19" si="24">AU5-AW5</f>
        <v>0</v>
      </c>
      <c r="AY5" s="10"/>
      <c r="AZ5" s="76">
        <f t="shared" ref="AZ5:AZ19" si="25">AF5</f>
        <v>0</v>
      </c>
      <c r="BA5" s="76">
        <f t="shared" ref="BA5:BA19" si="26">(AD5=1)*AE5*0.15</f>
        <v>22.336739999999999</v>
      </c>
      <c r="BB5" s="10">
        <f t="shared" ref="BB5:BB19" si="27">AK5</f>
        <v>0</v>
      </c>
      <c r="BC5" s="15">
        <f t="shared" ref="BC5:BC19" si="28">AM5</f>
        <v>0</v>
      </c>
      <c r="BD5" s="10">
        <f t="shared" ref="BD5:BD19" si="29">AX5</f>
        <v>0</v>
      </c>
      <c r="BE5" s="10">
        <f t="shared" ref="BE5:BE19" si="30">SUM(AZ5:BD5)</f>
        <v>22.336739999999999</v>
      </c>
      <c r="BF5" s="10">
        <f t="shared" ref="BF5:BF19" si="31">AC5+AH5+AU5+AM5</f>
        <v>326.92640993178964</v>
      </c>
      <c r="BG5" s="10">
        <f t="shared" ref="BG5:BG19" si="32">BF5*I5/(I5+K5)</f>
        <v>182.31145586831315</v>
      </c>
      <c r="BH5" s="10">
        <f t="shared" ref="BH5:BH19" si="33">BE5*K5/(I5+K5)</f>
        <v>9.8805924847178197</v>
      </c>
      <c r="BJ5" s="42">
        <f>BK4</f>
        <v>60000</v>
      </c>
      <c r="BK5" s="42">
        <v>150000</v>
      </c>
      <c r="BL5" s="40">
        <v>1.5E-3</v>
      </c>
      <c r="BM5" s="43">
        <v>30</v>
      </c>
      <c r="BN5" s="40">
        <f>BL5-BL4</f>
        <v>5.0000000000000001E-4</v>
      </c>
      <c r="BO5" s="44">
        <f>BK4*BN5</f>
        <v>30</v>
      </c>
      <c r="BP5" s="44">
        <f>SUM($BO$5:BO5)</f>
        <v>30</v>
      </c>
    </row>
    <row r="6" spans="1:68">
      <c r="A6" s="1" t="s">
        <v>190</v>
      </c>
      <c r="B6" s="1">
        <v>203</v>
      </c>
      <c r="C6" s="1">
        <v>1</v>
      </c>
      <c r="D6" s="39">
        <v>27.95</v>
      </c>
      <c r="E6" s="39">
        <v>42.860154679802953</v>
      </c>
      <c r="F6" s="39">
        <v>18.937848910498825</v>
      </c>
      <c r="H6" s="54">
        <v>2141</v>
      </c>
      <c r="I6" s="6">
        <f t="shared" si="0"/>
        <v>40545.934517377988</v>
      </c>
      <c r="K6" s="6">
        <f t="shared" si="1"/>
        <v>32162.260071724144</v>
      </c>
      <c r="L6" s="6">
        <f t="shared" si="2"/>
        <v>750.4000000000002</v>
      </c>
      <c r="M6" s="6">
        <v>670</v>
      </c>
      <c r="N6" s="38">
        <f t="shared" ref="N6:N19" si="34">N5</f>
        <v>1</v>
      </c>
      <c r="O6" s="38">
        <v>1</v>
      </c>
      <c r="P6" s="6">
        <f t="shared" si="3"/>
        <v>1.1200000000000003</v>
      </c>
      <c r="R6" s="10">
        <v>163137</v>
      </c>
      <c r="S6" s="10">
        <f>R6*사업개요!$J$18</f>
        <v>130509.6</v>
      </c>
      <c r="T6" s="10">
        <f>ROUND(S6*사업개요!$I$19,-3)</f>
        <v>52000</v>
      </c>
      <c r="U6" s="10">
        <f>ROUND((S6-T6)*사업개요!$I$20/12,0)</f>
        <v>334</v>
      </c>
      <c r="V6" s="10">
        <v>203921.25</v>
      </c>
      <c r="W6" s="31"/>
      <c r="X6" s="13">
        <v>0.8</v>
      </c>
      <c r="Y6" s="13">
        <v>0.7</v>
      </c>
      <c r="Z6" s="11">
        <f t="shared" si="4"/>
        <v>114195.9</v>
      </c>
      <c r="AA6" s="8">
        <f t="shared" si="5"/>
        <v>1.5E-3</v>
      </c>
      <c r="AB6" s="45">
        <f t="shared" si="6"/>
        <v>30</v>
      </c>
      <c r="AC6" s="6">
        <f t="shared" si="11"/>
        <v>141.29384999999999</v>
      </c>
      <c r="AD6" s="13">
        <f t="shared" si="7"/>
        <v>1</v>
      </c>
      <c r="AE6" s="10">
        <f t="shared" si="12"/>
        <v>141.29384999999999</v>
      </c>
      <c r="AF6" s="11">
        <f t="shared" si="13"/>
        <v>0</v>
      </c>
      <c r="AH6" s="11">
        <f t="shared" si="14"/>
        <v>159.87425999999999</v>
      </c>
      <c r="AI6" s="13">
        <f t="shared" si="15"/>
        <v>1</v>
      </c>
      <c r="AJ6" s="11">
        <f t="shared" si="16"/>
        <v>159.87425999999999</v>
      </c>
      <c r="AK6" s="11">
        <f t="shared" si="17"/>
        <v>0</v>
      </c>
      <c r="AM6" s="11">
        <f t="shared" si="18"/>
        <v>0</v>
      </c>
      <c r="AO6" s="10">
        <f t="shared" si="19"/>
        <v>21046.567994032128</v>
      </c>
      <c r="AP6" s="10">
        <f t="shared" si="20"/>
        <v>32162.260071724144</v>
      </c>
      <c r="AQ6" s="15">
        <f>사업개요!$C$7/사업개요!$C$3</f>
        <v>0.13032258064516128</v>
      </c>
      <c r="AR6" s="5">
        <f t="shared" si="21"/>
        <v>0.86967741935483867</v>
      </c>
      <c r="AS6" s="12">
        <f t="shared" si="8"/>
        <v>5.9999999999999995E-4</v>
      </c>
      <c r="AT6" s="9">
        <f t="shared" si="9"/>
        <v>1.899999999999999</v>
      </c>
      <c r="AU6" s="10">
        <f t="shared" si="22"/>
        <v>10.727940796419277</v>
      </c>
      <c r="AV6" s="5">
        <f t="shared" si="10"/>
        <v>1</v>
      </c>
      <c r="AW6" s="10">
        <f t="shared" si="23"/>
        <v>10.727940796419277</v>
      </c>
      <c r="AX6" s="10">
        <f t="shared" si="24"/>
        <v>0</v>
      </c>
      <c r="AY6" s="10"/>
      <c r="AZ6" s="76">
        <f t="shared" si="25"/>
        <v>0</v>
      </c>
      <c r="BA6" s="76">
        <f t="shared" si="26"/>
        <v>21.194077499999999</v>
      </c>
      <c r="BB6" s="10">
        <f t="shared" si="27"/>
        <v>0</v>
      </c>
      <c r="BC6" s="15">
        <f t="shared" si="28"/>
        <v>0</v>
      </c>
      <c r="BD6" s="10">
        <f t="shared" si="29"/>
        <v>0</v>
      </c>
      <c r="BE6" s="10">
        <f t="shared" si="30"/>
        <v>21.194077499999999</v>
      </c>
      <c r="BF6" s="10">
        <f t="shared" si="31"/>
        <v>311.89605079641922</v>
      </c>
      <c r="BG6" s="10">
        <f t="shared" si="32"/>
        <v>173.92973272528317</v>
      </c>
      <c r="BH6" s="10">
        <f t="shared" si="33"/>
        <v>9.3751390250782816</v>
      </c>
      <c r="BJ6" s="42">
        <f>BK5</f>
        <v>150000</v>
      </c>
      <c r="BK6" s="42">
        <v>300000</v>
      </c>
      <c r="BL6" s="40">
        <v>2.5000000000000001E-3</v>
      </c>
      <c r="BM6" s="43">
        <v>180</v>
      </c>
      <c r="BN6" s="40">
        <f t="shared" ref="BN6:BN7" si="35">BL6-BL5</f>
        <v>1E-3</v>
      </c>
      <c r="BO6" s="44">
        <f t="shared" ref="BO6:BO7" si="36">BK5*BN6</f>
        <v>150</v>
      </c>
      <c r="BP6" s="44">
        <f>SUM($BO$5:BO6)</f>
        <v>180</v>
      </c>
    </row>
    <row r="7" spans="1:68">
      <c r="A7" s="1" t="s">
        <v>191</v>
      </c>
      <c r="B7" s="1">
        <v>204</v>
      </c>
      <c r="C7" s="1">
        <v>1</v>
      </c>
      <c r="D7" s="39">
        <v>29.93</v>
      </c>
      <c r="E7" s="39">
        <v>45.896401773399013</v>
      </c>
      <c r="F7" s="39">
        <v>20.27942103367549</v>
      </c>
      <c r="H7" s="54">
        <v>2141</v>
      </c>
      <c r="I7" s="6">
        <f t="shared" si="0"/>
        <v>43418.240433099221</v>
      </c>
      <c r="K7" s="6">
        <f t="shared" si="1"/>
        <v>34440.65989075863</v>
      </c>
      <c r="L7" s="6">
        <f t="shared" si="2"/>
        <v>750.4000000000002</v>
      </c>
      <c r="M7" s="6">
        <v>670</v>
      </c>
      <c r="N7" s="38">
        <f t="shared" si="34"/>
        <v>1</v>
      </c>
      <c r="O7" s="38">
        <v>1</v>
      </c>
      <c r="P7" s="6">
        <f t="shared" si="3"/>
        <v>1.1200000000000003</v>
      </c>
      <c r="R7" s="10">
        <v>178039</v>
      </c>
      <c r="S7" s="10">
        <f>R7*사업개요!$J$18</f>
        <v>142431.20000000001</v>
      </c>
      <c r="T7" s="10">
        <f>ROUND(S7*사업개요!$I$19,-3)</f>
        <v>57000</v>
      </c>
      <c r="U7" s="10">
        <f>ROUND((S7-T7)*사업개요!$I$20/12,0)</f>
        <v>363</v>
      </c>
      <c r="V7" s="10">
        <v>222548.75</v>
      </c>
      <c r="W7" s="31"/>
      <c r="X7" s="13">
        <v>0.8</v>
      </c>
      <c r="Y7" s="13">
        <v>0.7</v>
      </c>
      <c r="Z7" s="11">
        <f t="shared" si="4"/>
        <v>124627.29999999999</v>
      </c>
      <c r="AA7" s="8">
        <f t="shared" si="5"/>
        <v>1.5E-3</v>
      </c>
      <c r="AB7" s="45">
        <f t="shared" si="6"/>
        <v>30</v>
      </c>
      <c r="AC7" s="6">
        <f t="shared" si="11"/>
        <v>156.94094999999999</v>
      </c>
      <c r="AD7" s="13">
        <f t="shared" si="7"/>
        <v>1</v>
      </c>
      <c r="AE7" s="10">
        <f t="shared" si="12"/>
        <v>156.94094999999999</v>
      </c>
      <c r="AF7" s="11">
        <f t="shared" si="13"/>
        <v>0</v>
      </c>
      <c r="AH7" s="11">
        <f t="shared" si="14"/>
        <v>174.47821999999996</v>
      </c>
      <c r="AI7" s="13">
        <f t="shared" si="15"/>
        <v>1</v>
      </c>
      <c r="AJ7" s="11">
        <f t="shared" si="16"/>
        <v>174.47821999999996</v>
      </c>
      <c r="AK7" s="11">
        <f t="shared" si="17"/>
        <v>0</v>
      </c>
      <c r="AM7" s="11">
        <f t="shared" si="18"/>
        <v>0</v>
      </c>
      <c r="AO7" s="10">
        <f t="shared" si="19"/>
        <v>22537.523436900952</v>
      </c>
      <c r="AP7" s="10">
        <f t="shared" si="20"/>
        <v>34440.65989075863</v>
      </c>
      <c r="AQ7" s="15">
        <f>사업개요!$C$7/사업개요!$C$3</f>
        <v>0.13032258064516128</v>
      </c>
      <c r="AR7" s="5">
        <f t="shared" si="21"/>
        <v>0.86967741935483867</v>
      </c>
      <c r="AS7" s="12">
        <f t="shared" si="8"/>
        <v>5.9999999999999995E-4</v>
      </c>
      <c r="AT7" s="9">
        <f t="shared" si="9"/>
        <v>1.899999999999999</v>
      </c>
      <c r="AU7" s="10">
        <f t="shared" si="22"/>
        <v>11.622514062140571</v>
      </c>
      <c r="AV7" s="5">
        <f t="shared" si="10"/>
        <v>1</v>
      </c>
      <c r="AW7" s="10">
        <f t="shared" si="23"/>
        <v>11.622514062140571</v>
      </c>
      <c r="AX7" s="10">
        <f t="shared" si="24"/>
        <v>0</v>
      </c>
      <c r="AY7" s="10"/>
      <c r="AZ7" s="76">
        <f t="shared" si="25"/>
        <v>0</v>
      </c>
      <c r="BA7" s="76">
        <f t="shared" si="26"/>
        <v>23.541142499999996</v>
      </c>
      <c r="BB7" s="10">
        <f t="shared" si="27"/>
        <v>0</v>
      </c>
      <c r="BC7" s="15">
        <f t="shared" si="28"/>
        <v>0</v>
      </c>
      <c r="BD7" s="10">
        <f t="shared" si="29"/>
        <v>0</v>
      </c>
      <c r="BE7" s="10">
        <f t="shared" si="30"/>
        <v>23.541142499999996</v>
      </c>
      <c r="BF7" s="10">
        <f t="shared" si="31"/>
        <v>343.04168406214052</v>
      </c>
      <c r="BG7" s="10">
        <f t="shared" si="32"/>
        <v>191.2981849888948</v>
      </c>
      <c r="BH7" s="10">
        <f t="shared" si="33"/>
        <v>10.413356455202116</v>
      </c>
      <c r="BJ7" s="42">
        <f>BK6</f>
        <v>300000</v>
      </c>
      <c r="BK7" s="42">
        <v>99999999</v>
      </c>
      <c r="BL7" s="40">
        <v>4.0000000000000001E-3</v>
      </c>
      <c r="BM7" s="43">
        <v>630</v>
      </c>
      <c r="BN7" s="40">
        <f t="shared" si="35"/>
        <v>1.5E-3</v>
      </c>
      <c r="BO7" s="44">
        <f t="shared" si="36"/>
        <v>450</v>
      </c>
      <c r="BP7" s="44">
        <f>SUM($BO$5:BO7)</f>
        <v>630</v>
      </c>
    </row>
    <row r="8" spans="1:68">
      <c r="A8" s="1" t="s">
        <v>190</v>
      </c>
      <c r="B8" s="1">
        <v>301</v>
      </c>
      <c r="C8" s="1">
        <v>1</v>
      </c>
      <c r="D8" s="39">
        <v>24.56</v>
      </c>
      <c r="E8" s="39">
        <v>37.661731625615758</v>
      </c>
      <c r="F8" s="39">
        <v>16.640914820817574</v>
      </c>
      <c r="H8" s="54">
        <v>2141</v>
      </c>
      <c r="I8" s="6">
        <f t="shared" si="0"/>
        <v>35628.198631370426</v>
      </c>
      <c r="K8" s="6">
        <f t="shared" si="1"/>
        <v>28261.363411862072</v>
      </c>
      <c r="L8" s="6">
        <f t="shared" si="2"/>
        <v>750.4000000000002</v>
      </c>
      <c r="M8" s="6">
        <v>670</v>
      </c>
      <c r="N8" s="38">
        <f t="shared" si="34"/>
        <v>1</v>
      </c>
      <c r="O8" s="38">
        <v>1</v>
      </c>
      <c r="P8" s="6">
        <f t="shared" si="3"/>
        <v>1.1200000000000003</v>
      </c>
      <c r="R8" s="10">
        <v>146275</v>
      </c>
      <c r="S8" s="10">
        <f>R8*사업개요!$J$18</f>
        <v>117020</v>
      </c>
      <c r="T8" s="10">
        <f>ROUND(S8*사업개요!$I$19,-3)</f>
        <v>47000</v>
      </c>
      <c r="U8" s="10">
        <f>ROUND((S8-T8)*사업개요!$I$20/12,0)</f>
        <v>298</v>
      </c>
      <c r="V8" s="10">
        <v>182843.75</v>
      </c>
      <c r="W8" s="31"/>
      <c r="X8" s="13">
        <v>0.8</v>
      </c>
      <c r="Y8" s="13">
        <v>0.7</v>
      </c>
      <c r="Z8" s="11">
        <f t="shared" si="4"/>
        <v>102392.5</v>
      </c>
      <c r="AA8" s="8">
        <f t="shared" si="5"/>
        <v>1.5E-3</v>
      </c>
      <c r="AB8" s="45">
        <f t="shared" si="6"/>
        <v>30</v>
      </c>
      <c r="AC8" s="6">
        <f t="shared" si="11"/>
        <v>123.58875</v>
      </c>
      <c r="AD8" s="13">
        <f t="shared" si="7"/>
        <v>1</v>
      </c>
      <c r="AE8" s="10">
        <f t="shared" si="12"/>
        <v>123.58875</v>
      </c>
      <c r="AF8" s="11">
        <f t="shared" si="13"/>
        <v>0</v>
      </c>
      <c r="AH8" s="11">
        <f t="shared" si="14"/>
        <v>143.34950000000001</v>
      </c>
      <c r="AI8" s="13">
        <f t="shared" si="15"/>
        <v>1</v>
      </c>
      <c r="AJ8" s="11">
        <f t="shared" si="16"/>
        <v>143.34950000000001</v>
      </c>
      <c r="AK8" s="11">
        <f t="shared" si="17"/>
        <v>0</v>
      </c>
      <c r="AM8" s="11">
        <f t="shared" si="18"/>
        <v>0</v>
      </c>
      <c r="AO8" s="10">
        <f t="shared" si="19"/>
        <v>18493.871553968838</v>
      </c>
      <c r="AP8" s="10">
        <f t="shared" si="20"/>
        <v>28261.363411862072</v>
      </c>
      <c r="AQ8" s="15">
        <f>사업개요!$C$7/사업개요!$C$3</f>
        <v>0.13032258064516128</v>
      </c>
      <c r="AR8" s="5">
        <f t="shared" si="21"/>
        <v>0.86967741935483867</v>
      </c>
      <c r="AS8" s="12">
        <f t="shared" si="8"/>
        <v>5.9999999999999995E-4</v>
      </c>
      <c r="AT8" s="9">
        <f t="shared" si="9"/>
        <v>1.899999999999999</v>
      </c>
      <c r="AU8" s="10">
        <f t="shared" si="22"/>
        <v>9.1963229323813032</v>
      </c>
      <c r="AV8" s="5">
        <f t="shared" si="10"/>
        <v>1</v>
      </c>
      <c r="AW8" s="10">
        <f t="shared" si="23"/>
        <v>9.1963229323813032</v>
      </c>
      <c r="AX8" s="10">
        <f t="shared" si="24"/>
        <v>0</v>
      </c>
      <c r="AY8" s="10"/>
      <c r="AZ8" s="76">
        <f t="shared" si="25"/>
        <v>0</v>
      </c>
      <c r="BA8" s="76">
        <f t="shared" si="26"/>
        <v>18.5383125</v>
      </c>
      <c r="BB8" s="10">
        <f t="shared" si="27"/>
        <v>0</v>
      </c>
      <c r="BC8" s="15">
        <f t="shared" si="28"/>
        <v>0</v>
      </c>
      <c r="BD8" s="10">
        <f t="shared" si="29"/>
        <v>0</v>
      </c>
      <c r="BE8" s="10">
        <f t="shared" si="30"/>
        <v>18.5383125</v>
      </c>
      <c r="BF8" s="10">
        <f t="shared" si="31"/>
        <v>276.13457293238133</v>
      </c>
      <c r="BG8" s="10">
        <f t="shared" si="32"/>
        <v>153.98724140206616</v>
      </c>
      <c r="BH8" s="10">
        <f t="shared" si="33"/>
        <v>8.2003690407306742</v>
      </c>
      <c r="BN8" s="10"/>
    </row>
    <row r="9" spans="1:68">
      <c r="A9" s="1" t="s">
        <v>190</v>
      </c>
      <c r="B9" s="1">
        <v>302</v>
      </c>
      <c r="C9" s="1">
        <v>1</v>
      </c>
      <c r="D9" s="39">
        <v>28.62</v>
      </c>
      <c r="E9" s="39">
        <v>43.887571625615763</v>
      </c>
      <c r="F9" s="39">
        <v>19.391815235008107</v>
      </c>
      <c r="H9" s="54">
        <v>2141</v>
      </c>
      <c r="I9" s="6">
        <f t="shared" si="0"/>
        <v>41517.876418152358</v>
      </c>
      <c r="K9" s="6">
        <f t="shared" si="1"/>
        <v>32933.233747862076</v>
      </c>
      <c r="L9" s="6">
        <f t="shared" si="2"/>
        <v>750.4000000000002</v>
      </c>
      <c r="M9" s="6">
        <v>670</v>
      </c>
      <c r="N9" s="38">
        <f t="shared" si="34"/>
        <v>1</v>
      </c>
      <c r="O9" s="38">
        <v>1</v>
      </c>
      <c r="P9" s="6">
        <f t="shared" si="3"/>
        <v>1.1200000000000003</v>
      </c>
      <c r="R9" s="10">
        <v>170392</v>
      </c>
      <c r="S9" s="10">
        <f>R9*사업개요!$J$18</f>
        <v>136313.60000000001</v>
      </c>
      <c r="T9" s="10">
        <f>ROUND(S9*사업개요!$I$19,-3)</f>
        <v>55000</v>
      </c>
      <c r="U9" s="10">
        <f>ROUND((S9-T9)*사업개요!$I$20/12,0)</f>
        <v>346</v>
      </c>
      <c r="V9" s="10">
        <v>212990</v>
      </c>
      <c r="W9" s="31"/>
      <c r="X9" s="13">
        <v>0.8</v>
      </c>
      <c r="Y9" s="13">
        <v>0.7</v>
      </c>
      <c r="Z9" s="11">
        <f t="shared" si="4"/>
        <v>119274.4</v>
      </c>
      <c r="AA9" s="8">
        <f t="shared" si="5"/>
        <v>1.5E-3</v>
      </c>
      <c r="AB9" s="45">
        <f t="shared" si="6"/>
        <v>30</v>
      </c>
      <c r="AC9" s="6">
        <f t="shared" si="11"/>
        <v>148.91159999999999</v>
      </c>
      <c r="AD9" s="13">
        <f t="shared" si="7"/>
        <v>1</v>
      </c>
      <c r="AE9" s="10">
        <f t="shared" si="12"/>
        <v>148.91159999999999</v>
      </c>
      <c r="AF9" s="11">
        <f t="shared" si="13"/>
        <v>0</v>
      </c>
      <c r="AH9" s="11">
        <f t="shared" si="14"/>
        <v>166.98415999999997</v>
      </c>
      <c r="AI9" s="13">
        <f t="shared" si="15"/>
        <v>1</v>
      </c>
      <c r="AJ9" s="11">
        <f t="shared" si="16"/>
        <v>166.98415999999997</v>
      </c>
      <c r="AK9" s="11">
        <f t="shared" si="17"/>
        <v>0</v>
      </c>
      <c r="AM9" s="11">
        <f t="shared" si="18"/>
        <v>0</v>
      </c>
      <c r="AO9" s="10">
        <f t="shared" si="19"/>
        <v>21551.083219649354</v>
      </c>
      <c r="AP9" s="10">
        <f t="shared" si="20"/>
        <v>32933.233747862076</v>
      </c>
      <c r="AQ9" s="15">
        <f>사업개요!$C$7/사업개요!$C$3</f>
        <v>0.13032258064516128</v>
      </c>
      <c r="AR9" s="5">
        <f t="shared" si="21"/>
        <v>0.86967741935483867</v>
      </c>
      <c r="AS9" s="12">
        <f t="shared" si="8"/>
        <v>5.9999999999999995E-4</v>
      </c>
      <c r="AT9" s="9">
        <f t="shared" si="9"/>
        <v>1.899999999999999</v>
      </c>
      <c r="AU9" s="10">
        <f t="shared" si="22"/>
        <v>11.030649931789613</v>
      </c>
      <c r="AV9" s="5">
        <f t="shared" si="10"/>
        <v>1</v>
      </c>
      <c r="AW9" s="10">
        <f t="shared" si="23"/>
        <v>11.030649931789613</v>
      </c>
      <c r="AX9" s="10">
        <f t="shared" si="24"/>
        <v>0</v>
      </c>
      <c r="AY9" s="10"/>
      <c r="AZ9" s="76">
        <f t="shared" si="25"/>
        <v>0</v>
      </c>
      <c r="BA9" s="76">
        <f t="shared" si="26"/>
        <v>22.336739999999999</v>
      </c>
      <c r="BB9" s="10">
        <f t="shared" si="27"/>
        <v>0</v>
      </c>
      <c r="BC9" s="15">
        <f t="shared" si="28"/>
        <v>0</v>
      </c>
      <c r="BD9" s="10">
        <f t="shared" si="29"/>
        <v>0</v>
      </c>
      <c r="BE9" s="10">
        <f t="shared" si="30"/>
        <v>22.336739999999999</v>
      </c>
      <c r="BF9" s="10">
        <f t="shared" si="31"/>
        <v>326.92640993178964</v>
      </c>
      <c r="BG9" s="10">
        <f t="shared" si="32"/>
        <v>182.31145586831315</v>
      </c>
      <c r="BH9" s="10">
        <f t="shared" si="33"/>
        <v>9.8805924847178197</v>
      </c>
      <c r="BJ9" s="9" t="s">
        <v>70</v>
      </c>
    </row>
    <row r="10" spans="1:68">
      <c r="A10" s="1" t="s">
        <v>190</v>
      </c>
      <c r="B10" s="1">
        <v>303</v>
      </c>
      <c r="C10" s="1">
        <v>1</v>
      </c>
      <c r="D10" s="39">
        <v>27.95</v>
      </c>
      <c r="E10" s="39">
        <v>42.860154679802953</v>
      </c>
      <c r="F10" s="39">
        <v>18.937848910498825</v>
      </c>
      <c r="H10" s="54">
        <v>2141</v>
      </c>
      <c r="I10" s="6">
        <f t="shared" si="0"/>
        <v>40545.934517377988</v>
      </c>
      <c r="K10" s="6">
        <f t="shared" si="1"/>
        <v>32162.260071724144</v>
      </c>
      <c r="L10" s="6">
        <f t="shared" si="2"/>
        <v>750.4000000000002</v>
      </c>
      <c r="M10" s="6">
        <v>670</v>
      </c>
      <c r="N10" s="38">
        <f t="shared" si="34"/>
        <v>1</v>
      </c>
      <c r="O10" s="38">
        <v>1</v>
      </c>
      <c r="P10" s="6">
        <f t="shared" si="3"/>
        <v>1.1200000000000003</v>
      </c>
      <c r="R10" s="10">
        <v>163137</v>
      </c>
      <c r="S10" s="10">
        <f>R10*사업개요!$J$18</f>
        <v>130509.6</v>
      </c>
      <c r="T10" s="10">
        <f>ROUND(S10*사업개요!$I$19,-3)</f>
        <v>52000</v>
      </c>
      <c r="U10" s="10">
        <f>ROUND((S10-T10)*사업개요!$I$20/12,0)</f>
        <v>334</v>
      </c>
      <c r="V10" s="10">
        <v>203921.25</v>
      </c>
      <c r="W10" s="31"/>
      <c r="X10" s="13">
        <v>0.8</v>
      </c>
      <c r="Y10" s="13">
        <v>0.7</v>
      </c>
      <c r="Z10" s="11">
        <f t="shared" si="4"/>
        <v>114195.9</v>
      </c>
      <c r="AA10" s="8">
        <f t="shared" si="5"/>
        <v>1.5E-3</v>
      </c>
      <c r="AB10" s="45">
        <f t="shared" si="6"/>
        <v>30</v>
      </c>
      <c r="AC10" s="6">
        <f t="shared" si="11"/>
        <v>141.29384999999999</v>
      </c>
      <c r="AD10" s="13">
        <f t="shared" si="7"/>
        <v>1</v>
      </c>
      <c r="AE10" s="10">
        <f t="shared" si="12"/>
        <v>141.29384999999999</v>
      </c>
      <c r="AF10" s="11">
        <f t="shared" si="13"/>
        <v>0</v>
      </c>
      <c r="AH10" s="11">
        <f t="shared" si="14"/>
        <v>159.87425999999999</v>
      </c>
      <c r="AI10" s="13">
        <f t="shared" si="15"/>
        <v>1</v>
      </c>
      <c r="AJ10" s="11">
        <f t="shared" si="16"/>
        <v>159.87425999999999</v>
      </c>
      <c r="AK10" s="11">
        <f t="shared" si="17"/>
        <v>0</v>
      </c>
      <c r="AM10" s="11">
        <f t="shared" si="18"/>
        <v>0</v>
      </c>
      <c r="AO10" s="10">
        <f t="shared" si="19"/>
        <v>21046.567994032128</v>
      </c>
      <c r="AP10" s="10">
        <f t="shared" si="20"/>
        <v>32162.260071724144</v>
      </c>
      <c r="AQ10" s="15">
        <f>사업개요!$C$7/사업개요!$C$3</f>
        <v>0.13032258064516128</v>
      </c>
      <c r="AR10" s="5">
        <f t="shared" si="21"/>
        <v>0.86967741935483867</v>
      </c>
      <c r="AS10" s="12">
        <f t="shared" si="8"/>
        <v>5.9999999999999995E-4</v>
      </c>
      <c r="AT10" s="9">
        <f t="shared" si="9"/>
        <v>1.899999999999999</v>
      </c>
      <c r="AU10" s="10">
        <f t="shared" si="22"/>
        <v>10.727940796419277</v>
      </c>
      <c r="AV10" s="5">
        <f t="shared" si="10"/>
        <v>1</v>
      </c>
      <c r="AW10" s="10">
        <f t="shared" si="23"/>
        <v>10.727940796419277</v>
      </c>
      <c r="AX10" s="10">
        <f t="shared" si="24"/>
        <v>0</v>
      </c>
      <c r="AY10" s="10"/>
      <c r="AZ10" s="76">
        <f t="shared" si="25"/>
        <v>0</v>
      </c>
      <c r="BA10" s="76">
        <f t="shared" si="26"/>
        <v>21.194077499999999</v>
      </c>
      <c r="BB10" s="10">
        <f t="shared" si="27"/>
        <v>0</v>
      </c>
      <c r="BC10" s="15">
        <f t="shared" si="28"/>
        <v>0</v>
      </c>
      <c r="BD10" s="10">
        <f t="shared" si="29"/>
        <v>0</v>
      </c>
      <c r="BE10" s="10">
        <f t="shared" si="30"/>
        <v>21.194077499999999</v>
      </c>
      <c r="BF10" s="10">
        <f t="shared" si="31"/>
        <v>311.89605079641922</v>
      </c>
      <c r="BG10" s="10">
        <f t="shared" si="32"/>
        <v>173.92973272528317</v>
      </c>
      <c r="BH10" s="10">
        <f t="shared" si="33"/>
        <v>9.3751390250782816</v>
      </c>
      <c r="BJ10" s="46" t="s">
        <v>57</v>
      </c>
      <c r="BK10" s="46" t="s">
        <v>58</v>
      </c>
      <c r="BL10" s="46" t="s">
        <v>59</v>
      </c>
      <c r="BM10" s="46" t="s">
        <v>60</v>
      </c>
      <c r="BN10" s="46" t="s">
        <v>61</v>
      </c>
      <c r="BO10" s="46" t="s">
        <v>62</v>
      </c>
      <c r="BP10" s="46" t="s">
        <v>60</v>
      </c>
    </row>
    <row r="11" spans="1:68">
      <c r="A11" s="1" t="s">
        <v>191</v>
      </c>
      <c r="B11" s="1">
        <v>304</v>
      </c>
      <c r="C11" s="1">
        <v>1</v>
      </c>
      <c r="D11" s="39">
        <v>29.93</v>
      </c>
      <c r="E11" s="39">
        <v>45.896401773399013</v>
      </c>
      <c r="F11" s="39">
        <v>20.27942103367549</v>
      </c>
      <c r="H11" s="54">
        <v>2141</v>
      </c>
      <c r="I11" s="6">
        <f t="shared" si="0"/>
        <v>43418.240433099221</v>
      </c>
      <c r="K11" s="6">
        <f t="shared" si="1"/>
        <v>34440.65989075863</v>
      </c>
      <c r="L11" s="6">
        <f t="shared" si="2"/>
        <v>750.4000000000002</v>
      </c>
      <c r="M11" s="6">
        <v>670</v>
      </c>
      <c r="N11" s="38">
        <f t="shared" si="34"/>
        <v>1</v>
      </c>
      <c r="O11" s="38">
        <v>1</v>
      </c>
      <c r="P11" s="6">
        <f t="shared" si="3"/>
        <v>1.1200000000000003</v>
      </c>
      <c r="R11" s="10">
        <v>178039</v>
      </c>
      <c r="S11" s="10">
        <f>R11*사업개요!$J$18</f>
        <v>142431.20000000001</v>
      </c>
      <c r="T11" s="10">
        <f>ROUND(S11*사업개요!$I$19,-3)</f>
        <v>57000</v>
      </c>
      <c r="U11" s="10">
        <f>ROUND((S11-T11)*사업개요!$I$20/12,0)</f>
        <v>363</v>
      </c>
      <c r="V11" s="10">
        <v>222548.75</v>
      </c>
      <c r="W11" s="31"/>
      <c r="X11" s="13">
        <v>0.8</v>
      </c>
      <c r="Y11" s="13">
        <v>0.7</v>
      </c>
      <c r="Z11" s="11">
        <f t="shared" si="4"/>
        <v>124627.29999999999</v>
      </c>
      <c r="AA11" s="8">
        <f t="shared" si="5"/>
        <v>1.5E-3</v>
      </c>
      <c r="AB11" s="45">
        <f t="shared" si="6"/>
        <v>30</v>
      </c>
      <c r="AC11" s="6">
        <f t="shared" si="11"/>
        <v>156.94094999999999</v>
      </c>
      <c r="AD11" s="13">
        <f t="shared" si="7"/>
        <v>1</v>
      </c>
      <c r="AE11" s="10">
        <f t="shared" si="12"/>
        <v>156.94094999999999</v>
      </c>
      <c r="AF11" s="11">
        <f t="shared" si="13"/>
        <v>0</v>
      </c>
      <c r="AH11" s="11">
        <f t="shared" si="14"/>
        <v>174.47821999999996</v>
      </c>
      <c r="AI11" s="13">
        <f t="shared" si="15"/>
        <v>1</v>
      </c>
      <c r="AJ11" s="11">
        <f t="shared" si="16"/>
        <v>174.47821999999996</v>
      </c>
      <c r="AK11" s="11">
        <f t="shared" si="17"/>
        <v>0</v>
      </c>
      <c r="AM11" s="11">
        <f t="shared" si="18"/>
        <v>0</v>
      </c>
      <c r="AO11" s="10">
        <f t="shared" si="19"/>
        <v>22537.523436900952</v>
      </c>
      <c r="AP11" s="10">
        <f t="shared" si="20"/>
        <v>34440.65989075863</v>
      </c>
      <c r="AQ11" s="15">
        <f>사업개요!$C$7/사업개요!$C$3</f>
        <v>0.13032258064516128</v>
      </c>
      <c r="AR11" s="5">
        <f t="shared" si="21"/>
        <v>0.86967741935483867</v>
      </c>
      <c r="AS11" s="12">
        <f t="shared" si="8"/>
        <v>5.9999999999999995E-4</v>
      </c>
      <c r="AT11" s="9">
        <f t="shared" si="9"/>
        <v>1.899999999999999</v>
      </c>
      <c r="AU11" s="10">
        <f t="shared" si="22"/>
        <v>11.622514062140571</v>
      </c>
      <c r="AV11" s="5">
        <f t="shared" si="10"/>
        <v>1</v>
      </c>
      <c r="AW11" s="10">
        <f t="shared" si="23"/>
        <v>11.622514062140571</v>
      </c>
      <c r="AX11" s="10">
        <f t="shared" si="24"/>
        <v>0</v>
      </c>
      <c r="AY11" s="10"/>
      <c r="AZ11" s="76">
        <f t="shared" si="25"/>
        <v>0</v>
      </c>
      <c r="BA11" s="76">
        <f t="shared" si="26"/>
        <v>23.541142499999996</v>
      </c>
      <c r="BB11" s="10">
        <f t="shared" si="27"/>
        <v>0</v>
      </c>
      <c r="BC11" s="15">
        <f t="shared" si="28"/>
        <v>0</v>
      </c>
      <c r="BD11" s="10">
        <f t="shared" si="29"/>
        <v>0</v>
      </c>
      <c r="BE11" s="10">
        <f t="shared" si="30"/>
        <v>23.541142499999996</v>
      </c>
      <c r="BF11" s="10">
        <f t="shared" si="31"/>
        <v>343.04168406214052</v>
      </c>
      <c r="BG11" s="10">
        <f t="shared" si="32"/>
        <v>191.2981849888948</v>
      </c>
      <c r="BH11" s="10">
        <f t="shared" si="33"/>
        <v>10.413356455202116</v>
      </c>
      <c r="BJ11" s="42"/>
      <c r="BK11" s="42">
        <v>6000</v>
      </c>
      <c r="BL11" s="40">
        <v>4.0000000000000002E-4</v>
      </c>
      <c r="BM11" s="43"/>
      <c r="BN11" s="40"/>
      <c r="BO11" s="41"/>
      <c r="BP11" s="41"/>
    </row>
    <row r="12" spans="1:68">
      <c r="A12" s="1" t="s">
        <v>190</v>
      </c>
      <c r="B12" s="1">
        <v>401</v>
      </c>
      <c r="C12" s="1">
        <v>1</v>
      </c>
      <c r="D12" s="39">
        <v>24.56</v>
      </c>
      <c r="E12" s="39">
        <v>37.661731625615758</v>
      </c>
      <c r="F12" s="39">
        <v>16.640914820817574</v>
      </c>
      <c r="H12" s="54">
        <v>2141</v>
      </c>
      <c r="I12" s="6">
        <f t="shared" si="0"/>
        <v>35628.198631370426</v>
      </c>
      <c r="K12" s="6">
        <f t="shared" si="1"/>
        <v>28261.363411862072</v>
      </c>
      <c r="L12" s="6">
        <f t="shared" si="2"/>
        <v>750.4000000000002</v>
      </c>
      <c r="M12" s="6">
        <v>670</v>
      </c>
      <c r="N12" s="38">
        <f t="shared" si="34"/>
        <v>1</v>
      </c>
      <c r="O12" s="38">
        <v>1</v>
      </c>
      <c r="P12" s="6">
        <f t="shared" si="3"/>
        <v>1.1200000000000003</v>
      </c>
      <c r="R12" s="10">
        <v>146275</v>
      </c>
      <c r="S12" s="10">
        <f>R12*사업개요!$J$18</f>
        <v>117020</v>
      </c>
      <c r="T12" s="10">
        <f>ROUND(S12*사업개요!$I$19,-3)</f>
        <v>47000</v>
      </c>
      <c r="U12" s="10">
        <f>ROUND((S12-T12)*사업개요!$I$20/12,0)</f>
        <v>298</v>
      </c>
      <c r="V12" s="10">
        <v>182843.75</v>
      </c>
      <c r="W12" s="31"/>
      <c r="X12" s="13">
        <v>0.8</v>
      </c>
      <c r="Y12" s="13">
        <v>0.7</v>
      </c>
      <c r="Z12" s="11">
        <f t="shared" si="4"/>
        <v>102392.5</v>
      </c>
      <c r="AA12" s="8">
        <f t="shared" si="5"/>
        <v>1.5E-3</v>
      </c>
      <c r="AB12" s="45">
        <f t="shared" si="6"/>
        <v>30</v>
      </c>
      <c r="AC12" s="6">
        <f t="shared" si="11"/>
        <v>123.58875</v>
      </c>
      <c r="AD12" s="13">
        <f t="shared" si="7"/>
        <v>1</v>
      </c>
      <c r="AE12" s="10">
        <f t="shared" si="12"/>
        <v>123.58875</v>
      </c>
      <c r="AF12" s="11">
        <f t="shared" si="13"/>
        <v>0</v>
      </c>
      <c r="AH12" s="11">
        <f t="shared" si="14"/>
        <v>143.34950000000001</v>
      </c>
      <c r="AI12" s="13">
        <f t="shared" si="15"/>
        <v>1</v>
      </c>
      <c r="AJ12" s="11">
        <f t="shared" si="16"/>
        <v>143.34950000000001</v>
      </c>
      <c r="AK12" s="11">
        <f t="shared" si="17"/>
        <v>0</v>
      </c>
      <c r="AM12" s="11">
        <f t="shared" si="18"/>
        <v>0</v>
      </c>
      <c r="AO12" s="10">
        <f t="shared" si="19"/>
        <v>18493.871553968838</v>
      </c>
      <c r="AP12" s="10">
        <f t="shared" si="20"/>
        <v>28261.363411862072</v>
      </c>
      <c r="AQ12" s="15">
        <f>사업개요!$C$7/사업개요!$C$3</f>
        <v>0.13032258064516128</v>
      </c>
      <c r="AR12" s="5">
        <f t="shared" si="21"/>
        <v>0.86967741935483867</v>
      </c>
      <c r="AS12" s="12">
        <f t="shared" si="8"/>
        <v>5.9999999999999995E-4</v>
      </c>
      <c r="AT12" s="9">
        <f t="shared" si="9"/>
        <v>1.899999999999999</v>
      </c>
      <c r="AU12" s="10">
        <f t="shared" si="22"/>
        <v>9.1963229323813032</v>
      </c>
      <c r="AV12" s="5">
        <f t="shared" si="10"/>
        <v>1</v>
      </c>
      <c r="AW12" s="10">
        <f t="shared" si="23"/>
        <v>9.1963229323813032</v>
      </c>
      <c r="AX12" s="10">
        <f t="shared" si="24"/>
        <v>0</v>
      </c>
      <c r="AY12" s="10"/>
      <c r="AZ12" s="76">
        <f t="shared" si="25"/>
        <v>0</v>
      </c>
      <c r="BA12" s="76">
        <f t="shared" si="26"/>
        <v>18.5383125</v>
      </c>
      <c r="BB12" s="10">
        <f t="shared" si="27"/>
        <v>0</v>
      </c>
      <c r="BC12" s="15">
        <f t="shared" si="28"/>
        <v>0</v>
      </c>
      <c r="BD12" s="10">
        <f t="shared" si="29"/>
        <v>0</v>
      </c>
      <c r="BE12" s="10">
        <f t="shared" si="30"/>
        <v>18.5383125</v>
      </c>
      <c r="BF12" s="10">
        <f t="shared" si="31"/>
        <v>276.13457293238133</v>
      </c>
      <c r="BG12" s="10">
        <f t="shared" si="32"/>
        <v>153.98724140206616</v>
      </c>
      <c r="BH12" s="10">
        <f t="shared" si="33"/>
        <v>8.2003690407306742</v>
      </c>
      <c r="BJ12" s="42">
        <f>BK11</f>
        <v>6000</v>
      </c>
      <c r="BK12" s="42">
        <v>13000</v>
      </c>
      <c r="BL12" s="40">
        <v>5.0000000000000001E-4</v>
      </c>
      <c r="BM12" s="43">
        <v>0.6</v>
      </c>
      <c r="BN12" s="40">
        <v>9.9999999999999991E-5</v>
      </c>
      <c r="BO12" s="44">
        <v>0.6</v>
      </c>
      <c r="BP12" s="44">
        <v>0.6</v>
      </c>
    </row>
    <row r="13" spans="1:68">
      <c r="A13" s="1" t="s">
        <v>190</v>
      </c>
      <c r="B13" s="1">
        <v>402</v>
      </c>
      <c r="C13" s="1">
        <v>1</v>
      </c>
      <c r="D13" s="39">
        <v>28.62</v>
      </c>
      <c r="E13" s="39">
        <v>43.887571625615763</v>
      </c>
      <c r="F13" s="39">
        <v>19.391815235008107</v>
      </c>
      <c r="H13" s="54">
        <v>2141</v>
      </c>
      <c r="I13" s="6">
        <f t="shared" si="0"/>
        <v>41517.876418152358</v>
      </c>
      <c r="K13" s="6">
        <f t="shared" si="1"/>
        <v>32933.233747862076</v>
      </c>
      <c r="L13" s="6">
        <f t="shared" si="2"/>
        <v>750.4000000000002</v>
      </c>
      <c r="M13" s="6">
        <v>670</v>
      </c>
      <c r="N13" s="38">
        <f t="shared" si="34"/>
        <v>1</v>
      </c>
      <c r="O13" s="38">
        <v>1</v>
      </c>
      <c r="P13" s="6">
        <f t="shared" si="3"/>
        <v>1.1200000000000003</v>
      </c>
      <c r="R13" s="10">
        <v>173725</v>
      </c>
      <c r="S13" s="10">
        <f>R13*사업개요!$J$18</f>
        <v>138980</v>
      </c>
      <c r="T13" s="10">
        <f>ROUND(S13*사업개요!$I$19,-3)</f>
        <v>56000</v>
      </c>
      <c r="U13" s="10">
        <f>ROUND((S13-T13)*사업개요!$I$20/12,0)</f>
        <v>353</v>
      </c>
      <c r="V13" s="10">
        <v>217156.25</v>
      </c>
      <c r="W13" s="31"/>
      <c r="X13" s="13">
        <v>0.8</v>
      </c>
      <c r="Y13" s="13">
        <v>0.7</v>
      </c>
      <c r="Z13" s="11">
        <f t="shared" si="4"/>
        <v>121607.49999999999</v>
      </c>
      <c r="AA13" s="8">
        <f t="shared" si="5"/>
        <v>1.5E-3</v>
      </c>
      <c r="AB13" s="45">
        <f t="shared" si="6"/>
        <v>30</v>
      </c>
      <c r="AC13" s="6">
        <f t="shared" si="11"/>
        <v>152.41125</v>
      </c>
      <c r="AD13" s="13">
        <f t="shared" si="7"/>
        <v>1</v>
      </c>
      <c r="AE13" s="10">
        <f t="shared" si="12"/>
        <v>152.41125</v>
      </c>
      <c r="AF13" s="11">
        <f t="shared" si="13"/>
        <v>0</v>
      </c>
      <c r="AH13" s="11">
        <f t="shared" si="14"/>
        <v>170.25049999999996</v>
      </c>
      <c r="AI13" s="13">
        <f t="shared" si="15"/>
        <v>1</v>
      </c>
      <c r="AJ13" s="11">
        <f t="shared" si="16"/>
        <v>170.25049999999996</v>
      </c>
      <c r="AK13" s="11">
        <f t="shared" si="17"/>
        <v>0</v>
      </c>
      <c r="AM13" s="11">
        <f t="shared" si="18"/>
        <v>0</v>
      </c>
      <c r="AO13" s="10">
        <f t="shared" si="19"/>
        <v>21551.083219649354</v>
      </c>
      <c r="AP13" s="10">
        <f t="shared" si="20"/>
        <v>32933.233747862076</v>
      </c>
      <c r="AQ13" s="15">
        <f>사업개요!$C$7/사업개요!$C$3</f>
        <v>0.13032258064516128</v>
      </c>
      <c r="AR13" s="5">
        <f t="shared" si="21"/>
        <v>0.86967741935483867</v>
      </c>
      <c r="AS13" s="12">
        <f t="shared" si="8"/>
        <v>5.9999999999999995E-4</v>
      </c>
      <c r="AT13" s="9">
        <f t="shared" si="9"/>
        <v>1.899999999999999</v>
      </c>
      <c r="AU13" s="10">
        <f t="shared" si="22"/>
        <v>11.030649931789613</v>
      </c>
      <c r="AV13" s="5">
        <f t="shared" si="10"/>
        <v>1</v>
      </c>
      <c r="AW13" s="10">
        <f t="shared" si="23"/>
        <v>11.030649931789613</v>
      </c>
      <c r="AX13" s="10">
        <f t="shared" si="24"/>
        <v>0</v>
      </c>
      <c r="AY13" s="10"/>
      <c r="AZ13" s="76">
        <f t="shared" si="25"/>
        <v>0</v>
      </c>
      <c r="BA13" s="76">
        <f t="shared" si="26"/>
        <v>22.861687499999999</v>
      </c>
      <c r="BB13" s="10">
        <f t="shared" si="27"/>
        <v>0</v>
      </c>
      <c r="BC13" s="15">
        <f t="shared" si="28"/>
        <v>0</v>
      </c>
      <c r="BD13" s="10">
        <f t="shared" si="29"/>
        <v>0</v>
      </c>
      <c r="BE13" s="10">
        <f t="shared" si="30"/>
        <v>22.861687499999999</v>
      </c>
      <c r="BF13" s="10">
        <f t="shared" si="31"/>
        <v>333.69239993178962</v>
      </c>
      <c r="BG13" s="10">
        <f t="shared" si="32"/>
        <v>186.08452971556764</v>
      </c>
      <c r="BH13" s="10">
        <f t="shared" si="33"/>
        <v>10.112801496568762</v>
      </c>
      <c r="BJ13" s="42">
        <f>BK12</f>
        <v>13000</v>
      </c>
      <c r="BK13" s="42">
        <v>26000</v>
      </c>
      <c r="BL13" s="40">
        <v>5.9999999999999995E-4</v>
      </c>
      <c r="BM13" s="43">
        <v>1.899999999999999</v>
      </c>
      <c r="BN13" s="40">
        <v>9.9999999999999937E-5</v>
      </c>
      <c r="BO13" s="44">
        <v>1.2999999999999992</v>
      </c>
      <c r="BP13" s="44">
        <v>1.899999999999999</v>
      </c>
    </row>
    <row r="14" spans="1:68">
      <c r="A14" s="1" t="s">
        <v>190</v>
      </c>
      <c r="B14" s="1">
        <v>403</v>
      </c>
      <c r="C14" s="1">
        <v>1</v>
      </c>
      <c r="D14" s="39">
        <v>27.95</v>
      </c>
      <c r="E14" s="39">
        <v>42.860154679802953</v>
      </c>
      <c r="F14" s="39">
        <v>18.937848910498825</v>
      </c>
      <c r="H14" s="54">
        <v>2141</v>
      </c>
      <c r="I14" s="6">
        <f t="shared" si="0"/>
        <v>40545.934517377988</v>
      </c>
      <c r="K14" s="6">
        <f t="shared" si="1"/>
        <v>32162.260071724144</v>
      </c>
      <c r="L14" s="6">
        <f t="shared" si="2"/>
        <v>750.4000000000002</v>
      </c>
      <c r="M14" s="6">
        <v>670</v>
      </c>
      <c r="N14" s="38">
        <f t="shared" si="34"/>
        <v>1</v>
      </c>
      <c r="O14" s="38">
        <v>1</v>
      </c>
      <c r="P14" s="6">
        <f t="shared" si="3"/>
        <v>1.1200000000000003</v>
      </c>
      <c r="R14" s="10">
        <v>166471</v>
      </c>
      <c r="S14" s="10">
        <f>R14*사업개요!$J$18</f>
        <v>133176.80000000002</v>
      </c>
      <c r="T14" s="10">
        <f>ROUND(S14*사업개요!$I$19,-3)</f>
        <v>53000</v>
      </c>
      <c r="U14" s="10">
        <f>ROUND((S14-T14)*사업개요!$I$20/12,0)</f>
        <v>341</v>
      </c>
      <c r="V14" s="10">
        <v>208088.75</v>
      </c>
      <c r="W14" s="31"/>
      <c r="X14" s="13">
        <v>0.8</v>
      </c>
      <c r="Y14" s="13">
        <v>0.7</v>
      </c>
      <c r="Z14" s="11">
        <f t="shared" si="4"/>
        <v>116529.7</v>
      </c>
      <c r="AA14" s="8">
        <f t="shared" si="5"/>
        <v>1.5E-3</v>
      </c>
      <c r="AB14" s="45">
        <f t="shared" si="6"/>
        <v>30</v>
      </c>
      <c r="AC14" s="6">
        <f t="shared" si="11"/>
        <v>144.79454999999999</v>
      </c>
      <c r="AD14" s="13">
        <f t="shared" si="7"/>
        <v>1</v>
      </c>
      <c r="AE14" s="10">
        <f t="shared" si="12"/>
        <v>144.79454999999999</v>
      </c>
      <c r="AF14" s="11">
        <f t="shared" si="13"/>
        <v>0</v>
      </c>
      <c r="AH14" s="11">
        <f t="shared" si="14"/>
        <v>163.14157999999998</v>
      </c>
      <c r="AI14" s="13">
        <f t="shared" si="15"/>
        <v>1</v>
      </c>
      <c r="AJ14" s="11">
        <f t="shared" si="16"/>
        <v>163.14157999999998</v>
      </c>
      <c r="AK14" s="11">
        <f t="shared" si="17"/>
        <v>0</v>
      </c>
      <c r="AM14" s="11">
        <f t="shared" si="18"/>
        <v>0</v>
      </c>
      <c r="AO14" s="10">
        <f t="shared" si="19"/>
        <v>21046.567994032128</v>
      </c>
      <c r="AP14" s="10">
        <f t="shared" si="20"/>
        <v>32162.260071724144</v>
      </c>
      <c r="AQ14" s="15">
        <f>사업개요!$C$7/사업개요!$C$3</f>
        <v>0.13032258064516128</v>
      </c>
      <c r="AR14" s="5">
        <f t="shared" si="21"/>
        <v>0.86967741935483867</v>
      </c>
      <c r="AS14" s="12">
        <f t="shared" si="8"/>
        <v>5.9999999999999995E-4</v>
      </c>
      <c r="AT14" s="9">
        <f t="shared" si="9"/>
        <v>1.899999999999999</v>
      </c>
      <c r="AU14" s="10">
        <f t="shared" si="22"/>
        <v>10.727940796419277</v>
      </c>
      <c r="AV14" s="5">
        <f t="shared" si="10"/>
        <v>1</v>
      </c>
      <c r="AW14" s="10">
        <f t="shared" si="23"/>
        <v>10.727940796419277</v>
      </c>
      <c r="AX14" s="10">
        <f t="shared" si="24"/>
        <v>0</v>
      </c>
      <c r="AY14" s="10"/>
      <c r="AZ14" s="76">
        <f t="shared" si="25"/>
        <v>0</v>
      </c>
      <c r="BA14" s="76">
        <f t="shared" si="26"/>
        <v>21.719182499999999</v>
      </c>
      <c r="BB14" s="10">
        <f t="shared" si="27"/>
        <v>0</v>
      </c>
      <c r="BC14" s="15">
        <f t="shared" si="28"/>
        <v>0</v>
      </c>
      <c r="BD14" s="10">
        <f t="shared" si="29"/>
        <v>0</v>
      </c>
      <c r="BE14" s="10">
        <f t="shared" si="30"/>
        <v>21.719182499999999</v>
      </c>
      <c r="BF14" s="10">
        <f t="shared" si="31"/>
        <v>318.6640707964192</v>
      </c>
      <c r="BG14" s="10">
        <f t="shared" si="32"/>
        <v>177.70393860789537</v>
      </c>
      <c r="BH14" s="10">
        <f t="shared" si="33"/>
        <v>9.6074177065997475</v>
      </c>
      <c r="BJ14" s="42">
        <f>BK13</f>
        <v>26000</v>
      </c>
      <c r="BK14" s="42">
        <v>39000</v>
      </c>
      <c r="BL14" s="40">
        <v>8.0000000000000004E-4</v>
      </c>
      <c r="BM14" s="43">
        <v>7.1000000000000014</v>
      </c>
      <c r="BN14" s="40">
        <v>2.0000000000000009E-4</v>
      </c>
      <c r="BO14" s="44">
        <v>5.200000000000002</v>
      </c>
      <c r="BP14" s="44">
        <v>7.1000000000000014</v>
      </c>
    </row>
    <row r="15" spans="1:68">
      <c r="A15" s="1" t="s">
        <v>191</v>
      </c>
      <c r="B15" s="1">
        <v>404</v>
      </c>
      <c r="C15" s="1">
        <v>1</v>
      </c>
      <c r="D15" s="39">
        <v>29.93</v>
      </c>
      <c r="E15" s="39">
        <v>45.896401773399013</v>
      </c>
      <c r="F15" s="39">
        <v>20.27942103367549</v>
      </c>
      <c r="H15" s="54">
        <v>2141</v>
      </c>
      <c r="I15" s="6">
        <f t="shared" si="0"/>
        <v>43418.240433099221</v>
      </c>
      <c r="K15" s="6">
        <f t="shared" si="1"/>
        <v>34440.65989075863</v>
      </c>
      <c r="L15" s="6">
        <f t="shared" si="2"/>
        <v>750.4000000000002</v>
      </c>
      <c r="M15" s="6">
        <v>670</v>
      </c>
      <c r="N15" s="38">
        <f t="shared" si="34"/>
        <v>1</v>
      </c>
      <c r="O15" s="38">
        <v>1</v>
      </c>
      <c r="P15" s="6">
        <f t="shared" si="3"/>
        <v>1.1200000000000003</v>
      </c>
      <c r="R15" s="10">
        <v>179804</v>
      </c>
      <c r="S15" s="10">
        <f>R15*사업개요!$J$18</f>
        <v>143843.20000000001</v>
      </c>
      <c r="T15" s="10">
        <f>ROUND(S15*사업개요!$I$19,-3)</f>
        <v>58000</v>
      </c>
      <c r="U15" s="10">
        <f>ROUND((S15-T15)*사업개요!$I$20/12,0)</f>
        <v>365</v>
      </c>
      <c r="V15" s="10">
        <v>224755</v>
      </c>
      <c r="W15" s="31"/>
      <c r="X15" s="13">
        <v>0.8</v>
      </c>
      <c r="Y15" s="13">
        <v>0.7</v>
      </c>
      <c r="Z15" s="11">
        <f t="shared" si="4"/>
        <v>125862.79999999999</v>
      </c>
      <c r="AA15" s="8">
        <f t="shared" si="5"/>
        <v>1.5E-3</v>
      </c>
      <c r="AB15" s="45">
        <f t="shared" si="6"/>
        <v>30</v>
      </c>
      <c r="AC15" s="6">
        <f t="shared" si="11"/>
        <v>158.79419999999999</v>
      </c>
      <c r="AD15" s="13">
        <f t="shared" si="7"/>
        <v>1</v>
      </c>
      <c r="AE15" s="10">
        <f t="shared" si="12"/>
        <v>158.79419999999999</v>
      </c>
      <c r="AF15" s="11">
        <f t="shared" si="13"/>
        <v>0</v>
      </c>
      <c r="AH15" s="11">
        <f t="shared" si="14"/>
        <v>176.20791999999997</v>
      </c>
      <c r="AI15" s="13">
        <f t="shared" si="15"/>
        <v>1</v>
      </c>
      <c r="AJ15" s="11">
        <f t="shared" si="16"/>
        <v>176.20791999999997</v>
      </c>
      <c r="AK15" s="11">
        <f t="shared" si="17"/>
        <v>0</v>
      </c>
      <c r="AM15" s="11">
        <f t="shared" si="18"/>
        <v>0</v>
      </c>
      <c r="AO15" s="10">
        <f t="shared" si="19"/>
        <v>22537.523436900952</v>
      </c>
      <c r="AP15" s="10">
        <f t="shared" si="20"/>
        <v>34440.65989075863</v>
      </c>
      <c r="AQ15" s="15">
        <f>사업개요!$C$7/사업개요!$C$3</f>
        <v>0.13032258064516128</v>
      </c>
      <c r="AR15" s="5">
        <f t="shared" si="21"/>
        <v>0.86967741935483867</v>
      </c>
      <c r="AS15" s="12">
        <f t="shared" si="8"/>
        <v>5.9999999999999995E-4</v>
      </c>
      <c r="AT15" s="9">
        <f t="shared" si="9"/>
        <v>1.899999999999999</v>
      </c>
      <c r="AU15" s="10">
        <f t="shared" si="22"/>
        <v>11.622514062140571</v>
      </c>
      <c r="AV15" s="5">
        <f t="shared" si="10"/>
        <v>1</v>
      </c>
      <c r="AW15" s="10">
        <f t="shared" si="23"/>
        <v>11.622514062140571</v>
      </c>
      <c r="AX15" s="10">
        <f t="shared" si="24"/>
        <v>0</v>
      </c>
      <c r="AY15" s="10"/>
      <c r="AZ15" s="76">
        <f t="shared" si="25"/>
        <v>0</v>
      </c>
      <c r="BA15" s="76">
        <f t="shared" si="26"/>
        <v>23.819129999999998</v>
      </c>
      <c r="BB15" s="10">
        <f t="shared" si="27"/>
        <v>0</v>
      </c>
      <c r="BC15" s="15">
        <f t="shared" si="28"/>
        <v>0</v>
      </c>
      <c r="BD15" s="10">
        <f t="shared" si="29"/>
        <v>0</v>
      </c>
      <c r="BE15" s="10">
        <f t="shared" si="30"/>
        <v>23.819129999999998</v>
      </c>
      <c r="BF15" s="10">
        <f t="shared" si="31"/>
        <v>346.62463406214056</v>
      </c>
      <c r="BG15" s="10">
        <f t="shared" si="32"/>
        <v>193.29622739525669</v>
      </c>
      <c r="BH15" s="10">
        <f t="shared" si="33"/>
        <v>10.536323423674038</v>
      </c>
      <c r="BJ15" s="42">
        <f>BK14</f>
        <v>39000</v>
      </c>
      <c r="BK15" s="42">
        <v>64000</v>
      </c>
      <c r="BL15" s="40">
        <v>1E-3</v>
      </c>
      <c r="BM15" s="43">
        <v>14.9</v>
      </c>
      <c r="BN15" s="40">
        <v>1.9999999999999998E-4</v>
      </c>
      <c r="BO15" s="44">
        <v>7.8</v>
      </c>
      <c r="BP15" s="44">
        <v>14.9</v>
      </c>
    </row>
    <row r="16" spans="1:68">
      <c r="A16" s="1" t="s">
        <v>190</v>
      </c>
      <c r="B16" s="1">
        <v>501</v>
      </c>
      <c r="C16" s="1">
        <v>1</v>
      </c>
      <c r="D16" s="39">
        <v>24.56</v>
      </c>
      <c r="E16" s="39">
        <v>37.661731625615758</v>
      </c>
      <c r="F16" s="39">
        <v>16.640914820817574</v>
      </c>
      <c r="H16" s="54">
        <v>2141</v>
      </c>
      <c r="I16" s="6">
        <f t="shared" si="0"/>
        <v>35628.198631370426</v>
      </c>
      <c r="K16" s="6">
        <f t="shared" si="1"/>
        <v>28261.363411862072</v>
      </c>
      <c r="L16" s="6">
        <f t="shared" si="2"/>
        <v>750.4000000000002</v>
      </c>
      <c r="M16" s="6">
        <v>670</v>
      </c>
      <c r="N16" s="38">
        <f t="shared" si="34"/>
        <v>1</v>
      </c>
      <c r="O16" s="38">
        <v>1</v>
      </c>
      <c r="P16" s="6">
        <f t="shared" si="3"/>
        <v>1.1200000000000003</v>
      </c>
      <c r="R16" s="10">
        <v>147843</v>
      </c>
      <c r="S16" s="10">
        <f>R16*사업개요!$J$18</f>
        <v>118274.40000000001</v>
      </c>
      <c r="T16" s="10">
        <f>ROUND(S16*사업개요!$I$19,-3)</f>
        <v>47000</v>
      </c>
      <c r="U16" s="10">
        <f>ROUND((S16-T16)*사업개요!$I$20/12,0)</f>
        <v>303</v>
      </c>
      <c r="V16" s="10">
        <v>184803.75</v>
      </c>
      <c r="W16" s="31"/>
      <c r="X16" s="13">
        <v>0.8</v>
      </c>
      <c r="Y16" s="13">
        <v>0.7</v>
      </c>
      <c r="Z16" s="11">
        <f t="shared" si="4"/>
        <v>103490.09999999999</v>
      </c>
      <c r="AA16" s="8">
        <f t="shared" si="5"/>
        <v>1.5E-3</v>
      </c>
      <c r="AB16" s="45">
        <f t="shared" si="6"/>
        <v>30</v>
      </c>
      <c r="AC16" s="6">
        <f t="shared" si="11"/>
        <v>125.23514999999998</v>
      </c>
      <c r="AD16" s="13">
        <f t="shared" si="7"/>
        <v>1</v>
      </c>
      <c r="AE16" s="10">
        <f t="shared" si="12"/>
        <v>125.23514999999998</v>
      </c>
      <c r="AF16" s="11">
        <f t="shared" si="13"/>
        <v>0</v>
      </c>
      <c r="AH16" s="11">
        <f t="shared" si="14"/>
        <v>144.88613999999998</v>
      </c>
      <c r="AI16" s="13">
        <f t="shared" si="15"/>
        <v>1</v>
      </c>
      <c r="AJ16" s="11">
        <f t="shared" si="16"/>
        <v>144.88613999999998</v>
      </c>
      <c r="AK16" s="11">
        <f t="shared" si="17"/>
        <v>0</v>
      </c>
      <c r="AM16" s="11">
        <f t="shared" si="18"/>
        <v>0</v>
      </c>
      <c r="AO16" s="10">
        <f t="shared" si="19"/>
        <v>18493.871553968838</v>
      </c>
      <c r="AP16" s="10">
        <f t="shared" si="20"/>
        <v>28261.363411862072</v>
      </c>
      <c r="AQ16" s="15">
        <f>사업개요!$C$7/사업개요!$C$3</f>
        <v>0.13032258064516128</v>
      </c>
      <c r="AR16" s="5">
        <f t="shared" si="21"/>
        <v>0.86967741935483867</v>
      </c>
      <c r="AS16" s="12">
        <f t="shared" si="8"/>
        <v>5.9999999999999995E-4</v>
      </c>
      <c r="AT16" s="9">
        <f t="shared" si="9"/>
        <v>1.899999999999999</v>
      </c>
      <c r="AU16" s="10">
        <f t="shared" si="22"/>
        <v>9.1963229323813032</v>
      </c>
      <c r="AV16" s="5">
        <f t="shared" si="10"/>
        <v>1</v>
      </c>
      <c r="AW16" s="10">
        <f t="shared" si="23"/>
        <v>9.1963229323813032</v>
      </c>
      <c r="AX16" s="10">
        <f t="shared" si="24"/>
        <v>0</v>
      </c>
      <c r="AY16" s="10"/>
      <c r="AZ16" s="76">
        <f t="shared" si="25"/>
        <v>0</v>
      </c>
      <c r="BA16" s="76">
        <f t="shared" si="26"/>
        <v>18.785272499999994</v>
      </c>
      <c r="BB16" s="10">
        <f t="shared" si="27"/>
        <v>0</v>
      </c>
      <c r="BC16" s="15">
        <f t="shared" si="28"/>
        <v>0</v>
      </c>
      <c r="BD16" s="10">
        <f t="shared" si="29"/>
        <v>0</v>
      </c>
      <c r="BE16" s="10">
        <f t="shared" si="30"/>
        <v>18.785272499999994</v>
      </c>
      <c r="BF16" s="10">
        <f t="shared" si="31"/>
        <v>279.31761293238122</v>
      </c>
      <c r="BG16" s="10">
        <f t="shared" si="32"/>
        <v>155.76227284295874</v>
      </c>
      <c r="BH16" s="10">
        <f t="shared" si="33"/>
        <v>8.309611084109692</v>
      </c>
      <c r="BJ16" s="42">
        <f>BK15</f>
        <v>64000</v>
      </c>
      <c r="BK16" s="42">
        <v>99999999</v>
      </c>
      <c r="BL16" s="40">
        <v>1.1999999999999999E-3</v>
      </c>
      <c r="BM16" s="43">
        <v>27.699999999999992</v>
      </c>
      <c r="BN16" s="40">
        <v>1.9999999999999987E-4</v>
      </c>
      <c r="BO16" s="41">
        <v>12.799999999999992</v>
      </c>
      <c r="BP16" s="41">
        <v>27.699999999999992</v>
      </c>
    </row>
    <row r="17" spans="1:68">
      <c r="A17" s="1" t="s">
        <v>190</v>
      </c>
      <c r="B17" s="1">
        <v>502</v>
      </c>
      <c r="C17" s="1">
        <v>1</v>
      </c>
      <c r="D17" s="39">
        <v>28.62</v>
      </c>
      <c r="E17" s="39">
        <v>43.887571625615763</v>
      </c>
      <c r="F17" s="39">
        <v>19.391815235008107</v>
      </c>
      <c r="H17" s="54">
        <v>2141</v>
      </c>
      <c r="I17" s="6">
        <f t="shared" si="0"/>
        <v>41517.876418152358</v>
      </c>
      <c r="K17" s="6">
        <f t="shared" si="1"/>
        <v>32933.233747862076</v>
      </c>
      <c r="L17" s="6">
        <f t="shared" si="2"/>
        <v>750.4000000000002</v>
      </c>
      <c r="M17" s="6">
        <v>670</v>
      </c>
      <c r="N17" s="38">
        <f t="shared" si="34"/>
        <v>1</v>
      </c>
      <c r="O17" s="38">
        <v>1</v>
      </c>
      <c r="P17" s="6">
        <f t="shared" si="3"/>
        <v>1.1200000000000003</v>
      </c>
      <c r="R17" s="10">
        <v>168431</v>
      </c>
      <c r="S17" s="10">
        <f>R17*사업개요!$J$18</f>
        <v>134744.80000000002</v>
      </c>
      <c r="T17" s="10">
        <f>ROUND(S17*사업개요!$I$19,-3)</f>
        <v>54000</v>
      </c>
      <c r="U17" s="10">
        <f>ROUND((S17-T17)*사업개요!$I$20/12,0)</f>
        <v>343</v>
      </c>
      <c r="V17" s="10">
        <v>210538.75</v>
      </c>
      <c r="W17" s="31"/>
      <c r="X17" s="13">
        <v>0.8</v>
      </c>
      <c r="Y17" s="13">
        <v>0.7</v>
      </c>
      <c r="Z17" s="11">
        <f t="shared" si="4"/>
        <v>117901.7</v>
      </c>
      <c r="AA17" s="8">
        <f t="shared" si="5"/>
        <v>1.5E-3</v>
      </c>
      <c r="AB17" s="45">
        <f t="shared" si="6"/>
        <v>30</v>
      </c>
      <c r="AC17" s="6">
        <f t="shared" si="11"/>
        <v>146.85255000000001</v>
      </c>
      <c r="AD17" s="13">
        <f t="shared" si="7"/>
        <v>1</v>
      </c>
      <c r="AE17" s="10">
        <f t="shared" si="12"/>
        <v>146.85255000000001</v>
      </c>
      <c r="AF17" s="11">
        <f t="shared" si="13"/>
        <v>0</v>
      </c>
      <c r="AH17" s="11">
        <f t="shared" si="14"/>
        <v>165.06237999999996</v>
      </c>
      <c r="AI17" s="13">
        <f t="shared" si="15"/>
        <v>1</v>
      </c>
      <c r="AJ17" s="11">
        <f t="shared" si="16"/>
        <v>165.06237999999996</v>
      </c>
      <c r="AK17" s="11">
        <f t="shared" si="17"/>
        <v>0</v>
      </c>
      <c r="AM17" s="11">
        <f t="shared" si="18"/>
        <v>0</v>
      </c>
      <c r="AO17" s="10">
        <f t="shared" si="19"/>
        <v>21551.083219649354</v>
      </c>
      <c r="AP17" s="10">
        <f t="shared" si="20"/>
        <v>32933.233747862076</v>
      </c>
      <c r="AQ17" s="15">
        <f>사업개요!$C$7/사업개요!$C$3</f>
        <v>0.13032258064516128</v>
      </c>
      <c r="AR17" s="5">
        <f t="shared" si="21"/>
        <v>0.86967741935483867</v>
      </c>
      <c r="AS17" s="12">
        <f t="shared" si="8"/>
        <v>5.9999999999999995E-4</v>
      </c>
      <c r="AT17" s="9">
        <f t="shared" si="9"/>
        <v>1.899999999999999</v>
      </c>
      <c r="AU17" s="10">
        <f t="shared" si="22"/>
        <v>11.030649931789613</v>
      </c>
      <c r="AV17" s="5">
        <f t="shared" si="10"/>
        <v>1</v>
      </c>
      <c r="AW17" s="10">
        <f t="shared" si="23"/>
        <v>11.030649931789613</v>
      </c>
      <c r="AX17" s="10">
        <f t="shared" si="24"/>
        <v>0</v>
      </c>
      <c r="AY17" s="10"/>
      <c r="AZ17" s="76">
        <f t="shared" si="25"/>
        <v>0</v>
      </c>
      <c r="BA17" s="76">
        <f t="shared" si="26"/>
        <v>22.0278825</v>
      </c>
      <c r="BB17" s="10">
        <f t="shared" si="27"/>
        <v>0</v>
      </c>
      <c r="BC17" s="15">
        <f t="shared" si="28"/>
        <v>0</v>
      </c>
      <c r="BD17" s="10">
        <f t="shared" si="29"/>
        <v>0</v>
      </c>
      <c r="BE17" s="10">
        <f t="shared" si="30"/>
        <v>22.0278825</v>
      </c>
      <c r="BF17" s="10">
        <f t="shared" si="31"/>
        <v>322.94557993178961</v>
      </c>
      <c r="BG17" s="10">
        <f t="shared" si="32"/>
        <v>180.09153453183964</v>
      </c>
      <c r="BH17" s="10">
        <f t="shared" si="33"/>
        <v>9.7439702608235237</v>
      </c>
      <c r="BN17" s="10"/>
    </row>
    <row r="18" spans="1:68">
      <c r="A18" s="1" t="s">
        <v>190</v>
      </c>
      <c r="B18" s="1">
        <v>503</v>
      </c>
      <c r="C18" s="1">
        <v>1</v>
      </c>
      <c r="D18" s="39">
        <v>27.95</v>
      </c>
      <c r="E18" s="39">
        <v>42.860154679802953</v>
      </c>
      <c r="F18" s="39">
        <v>18.937848910498825</v>
      </c>
      <c r="H18" s="54">
        <v>2141</v>
      </c>
      <c r="I18" s="6">
        <f t="shared" si="0"/>
        <v>40545.934517377988</v>
      </c>
      <c r="K18" s="6">
        <f t="shared" si="1"/>
        <v>32162.260071724144</v>
      </c>
      <c r="L18" s="6">
        <f t="shared" si="2"/>
        <v>750.4000000000002</v>
      </c>
      <c r="M18" s="6">
        <v>670</v>
      </c>
      <c r="N18" s="38">
        <f t="shared" si="34"/>
        <v>1</v>
      </c>
      <c r="O18" s="38">
        <v>1</v>
      </c>
      <c r="P18" s="6">
        <f t="shared" si="3"/>
        <v>1.1200000000000003</v>
      </c>
      <c r="R18" s="10">
        <v>160000</v>
      </c>
      <c r="S18" s="10">
        <f>R18*사업개요!$J$18</f>
        <v>128000</v>
      </c>
      <c r="T18" s="10">
        <f>ROUND(S18*사업개요!$I$19,-3)</f>
        <v>51000</v>
      </c>
      <c r="U18" s="10">
        <f>ROUND((S18-T18)*사업개요!$I$20/12,0)</f>
        <v>327</v>
      </c>
      <c r="V18" s="10">
        <v>200000</v>
      </c>
      <c r="W18" s="31"/>
      <c r="X18" s="13">
        <v>0.8</v>
      </c>
      <c r="Y18" s="13">
        <v>0.7</v>
      </c>
      <c r="Z18" s="11">
        <f t="shared" si="4"/>
        <v>112000</v>
      </c>
      <c r="AA18" s="8">
        <f t="shared" si="5"/>
        <v>1.5E-3</v>
      </c>
      <c r="AB18" s="45">
        <f t="shared" si="6"/>
        <v>30</v>
      </c>
      <c r="AC18" s="6">
        <f t="shared" si="11"/>
        <v>138</v>
      </c>
      <c r="AD18" s="13">
        <f t="shared" si="7"/>
        <v>1</v>
      </c>
      <c r="AE18" s="10">
        <f t="shared" si="12"/>
        <v>138</v>
      </c>
      <c r="AF18" s="11">
        <f t="shared" si="13"/>
        <v>0</v>
      </c>
      <c r="AH18" s="11">
        <f t="shared" si="14"/>
        <v>156.80000000000001</v>
      </c>
      <c r="AI18" s="13">
        <f t="shared" si="15"/>
        <v>1</v>
      </c>
      <c r="AJ18" s="11">
        <f t="shared" si="16"/>
        <v>156.80000000000001</v>
      </c>
      <c r="AK18" s="11">
        <f t="shared" si="17"/>
        <v>0</v>
      </c>
      <c r="AM18" s="11">
        <f t="shared" si="18"/>
        <v>0</v>
      </c>
      <c r="AO18" s="10">
        <f t="shared" si="19"/>
        <v>21046.567994032128</v>
      </c>
      <c r="AP18" s="10">
        <f t="shared" si="20"/>
        <v>32162.260071724144</v>
      </c>
      <c r="AQ18" s="15">
        <f>사업개요!$C$7/사업개요!$C$3</f>
        <v>0.13032258064516128</v>
      </c>
      <c r="AR18" s="5">
        <f t="shared" si="21"/>
        <v>0.86967741935483867</v>
      </c>
      <c r="AS18" s="12">
        <f t="shared" si="8"/>
        <v>5.9999999999999995E-4</v>
      </c>
      <c r="AT18" s="9">
        <f t="shared" si="9"/>
        <v>1.899999999999999</v>
      </c>
      <c r="AU18" s="10">
        <f t="shared" si="22"/>
        <v>10.727940796419277</v>
      </c>
      <c r="AV18" s="5">
        <f t="shared" si="10"/>
        <v>1</v>
      </c>
      <c r="AW18" s="10">
        <f t="shared" si="23"/>
        <v>10.727940796419277</v>
      </c>
      <c r="AX18" s="10">
        <f t="shared" si="24"/>
        <v>0</v>
      </c>
      <c r="AY18" s="10"/>
      <c r="AZ18" s="76">
        <f t="shared" si="25"/>
        <v>0</v>
      </c>
      <c r="BA18" s="76">
        <f t="shared" si="26"/>
        <v>20.7</v>
      </c>
      <c r="BB18" s="10">
        <f t="shared" si="27"/>
        <v>0</v>
      </c>
      <c r="BC18" s="15">
        <f t="shared" si="28"/>
        <v>0</v>
      </c>
      <c r="BD18" s="10">
        <f t="shared" si="29"/>
        <v>0</v>
      </c>
      <c r="BE18" s="10">
        <f t="shared" si="30"/>
        <v>20.7</v>
      </c>
      <c r="BF18" s="10">
        <f t="shared" si="31"/>
        <v>305.52794079641927</v>
      </c>
      <c r="BG18" s="10">
        <f t="shared" si="32"/>
        <v>170.37853780814024</v>
      </c>
      <c r="BH18" s="10">
        <f t="shared" si="33"/>
        <v>9.1565852686497191</v>
      </c>
      <c r="BJ18" s="9" t="s">
        <v>71</v>
      </c>
    </row>
    <row r="19" spans="1:68" ht="18" thickBot="1">
      <c r="A19" s="60" t="s">
        <v>190</v>
      </c>
      <c r="B19" s="60">
        <v>504</v>
      </c>
      <c r="C19" s="60">
        <v>1</v>
      </c>
      <c r="D19" s="61">
        <v>29.93</v>
      </c>
      <c r="E19" s="61">
        <v>45.896401773399013</v>
      </c>
      <c r="F19" s="61">
        <v>20.27942103367549</v>
      </c>
      <c r="H19" s="63">
        <v>2141</v>
      </c>
      <c r="I19" s="64">
        <f t="shared" si="0"/>
        <v>43418.240433099221</v>
      </c>
      <c r="K19" s="64">
        <f t="shared" si="1"/>
        <v>34440.65989075863</v>
      </c>
      <c r="L19" s="64">
        <f t="shared" si="2"/>
        <v>750.4000000000002</v>
      </c>
      <c r="M19" s="64">
        <v>670</v>
      </c>
      <c r="N19" s="65">
        <f t="shared" si="34"/>
        <v>1</v>
      </c>
      <c r="O19" s="65">
        <v>1</v>
      </c>
      <c r="P19" s="64">
        <f t="shared" si="3"/>
        <v>1.1200000000000003</v>
      </c>
      <c r="R19" s="66">
        <v>172745</v>
      </c>
      <c r="S19" s="66">
        <f>R19*사업개요!$J$18</f>
        <v>138196</v>
      </c>
      <c r="T19" s="66">
        <f>ROUND(S19*사업개요!$I$19,-3)</f>
        <v>55000</v>
      </c>
      <c r="U19" s="66">
        <f>ROUND((S19-T19)*사업개요!$I$20/12,0)</f>
        <v>354</v>
      </c>
      <c r="V19" s="66">
        <v>215931.25</v>
      </c>
      <c r="W19" s="31"/>
      <c r="X19" s="67">
        <v>0.8</v>
      </c>
      <c r="Y19" s="67">
        <v>0.7</v>
      </c>
      <c r="Z19" s="68">
        <f t="shared" si="4"/>
        <v>120921.49999999999</v>
      </c>
      <c r="AA19" s="69">
        <f t="shared" si="5"/>
        <v>1.5E-3</v>
      </c>
      <c r="AB19" s="70">
        <f t="shared" si="6"/>
        <v>30</v>
      </c>
      <c r="AC19" s="64">
        <f t="shared" si="11"/>
        <v>151.38224999999997</v>
      </c>
      <c r="AD19" s="67">
        <f t="shared" si="7"/>
        <v>1</v>
      </c>
      <c r="AE19" s="66">
        <f t="shared" si="12"/>
        <v>151.38224999999997</v>
      </c>
      <c r="AF19" s="68">
        <f t="shared" si="13"/>
        <v>0</v>
      </c>
      <c r="AH19" s="68">
        <f t="shared" si="14"/>
        <v>169.29009999999997</v>
      </c>
      <c r="AI19" s="67">
        <f t="shared" si="15"/>
        <v>1</v>
      </c>
      <c r="AJ19" s="68">
        <f t="shared" si="16"/>
        <v>169.29009999999997</v>
      </c>
      <c r="AK19" s="68">
        <f t="shared" si="17"/>
        <v>0</v>
      </c>
      <c r="AM19" s="68">
        <f t="shared" si="18"/>
        <v>0</v>
      </c>
      <c r="AO19" s="66">
        <f t="shared" si="19"/>
        <v>22537.523436900952</v>
      </c>
      <c r="AP19" s="66">
        <f t="shared" si="20"/>
        <v>34440.65989075863</v>
      </c>
      <c r="AQ19" s="74">
        <f>사업개요!$C$7/사업개요!$C$3</f>
        <v>0.13032258064516128</v>
      </c>
      <c r="AR19" s="73">
        <f t="shared" si="21"/>
        <v>0.86967741935483867</v>
      </c>
      <c r="AS19" s="75">
        <f t="shared" si="8"/>
        <v>5.9999999999999995E-4</v>
      </c>
      <c r="AT19" s="62">
        <f t="shared" si="9"/>
        <v>1.899999999999999</v>
      </c>
      <c r="AU19" s="66">
        <f t="shared" si="22"/>
        <v>11.622514062140571</v>
      </c>
      <c r="AV19" s="73">
        <f t="shared" si="10"/>
        <v>1</v>
      </c>
      <c r="AW19" s="66">
        <f t="shared" si="23"/>
        <v>11.622514062140571</v>
      </c>
      <c r="AX19" s="66">
        <f t="shared" si="24"/>
        <v>0</v>
      </c>
      <c r="AY19" s="31"/>
      <c r="AZ19" s="77">
        <f t="shared" si="25"/>
        <v>0</v>
      </c>
      <c r="BA19" s="77">
        <f t="shared" si="26"/>
        <v>22.707337499999994</v>
      </c>
      <c r="BB19" s="66">
        <f t="shared" si="27"/>
        <v>0</v>
      </c>
      <c r="BC19" s="74">
        <f t="shared" si="28"/>
        <v>0</v>
      </c>
      <c r="BD19" s="66">
        <f t="shared" si="29"/>
        <v>0</v>
      </c>
      <c r="BE19" s="66">
        <f t="shared" si="30"/>
        <v>22.707337499999994</v>
      </c>
      <c r="BF19" s="66">
        <f t="shared" si="31"/>
        <v>332.2948640621405</v>
      </c>
      <c r="BG19" s="66">
        <f t="shared" si="32"/>
        <v>185.30518980516678</v>
      </c>
      <c r="BH19" s="66">
        <f t="shared" si="33"/>
        <v>10.044525219456874</v>
      </c>
      <c r="BJ19" s="41" t="s">
        <v>57</v>
      </c>
      <c r="BK19" s="41" t="s">
        <v>58</v>
      </c>
      <c r="BL19" s="41" t="s">
        <v>44</v>
      </c>
      <c r="BM19" s="48" t="s">
        <v>72</v>
      </c>
      <c r="BN19" s="41" t="s">
        <v>73</v>
      </c>
      <c r="BO19" s="41" t="s">
        <v>80</v>
      </c>
      <c r="BP19" s="48"/>
    </row>
    <row r="20" spans="1:68" ht="18" thickTop="1">
      <c r="A20" s="1" t="s">
        <v>98</v>
      </c>
      <c r="C20" s="1">
        <f>SUM(C4:C19)</f>
        <v>16</v>
      </c>
      <c r="D20" s="39">
        <f>SUMPRODUCT($C$4:$C$19,D4:D19)</f>
        <v>444.24</v>
      </c>
      <c r="E20" s="39">
        <f>사업개요!C5</f>
        <v>681.2</v>
      </c>
      <c r="F20" s="39">
        <v>301</v>
      </c>
      <c r="H20" s="54">
        <f>SUMPRODUCT($C$4:$C$19,F4:F19,H4:H19)</f>
        <v>644441</v>
      </c>
      <c r="I20" s="6">
        <f>SUM(I4:I19)</f>
        <v>644441</v>
      </c>
      <c r="J20" s="71"/>
      <c r="K20" s="54">
        <f>SUMPRODUCT($C$4:$C$19,K4:K19)</f>
        <v>511190.06848882756</v>
      </c>
      <c r="L20" s="6"/>
      <c r="M20" s="6"/>
      <c r="N20" s="6"/>
      <c r="O20" s="6"/>
      <c r="P20" s="6"/>
      <c r="R20" s="10">
        <f>SUMPRODUCT($C$4:$C$19,R4:R19)</f>
        <v>2630980</v>
      </c>
      <c r="S20" s="10">
        <f>SUMPRODUCT($C$4:$C$19,S4:S19)</f>
        <v>2104784</v>
      </c>
      <c r="T20" s="10">
        <f>SUMPRODUCT($C$4:$C$19,T4:T19)</f>
        <v>843000</v>
      </c>
      <c r="U20" s="10">
        <f>SUMPRODUCT($C$4:$C$19,U4:U19)</f>
        <v>5366</v>
      </c>
      <c r="V20" s="10">
        <f>SUMPRODUCT($C$4:$C$19,V4:V19)</f>
        <v>3288725</v>
      </c>
      <c r="W20" s="31"/>
      <c r="X20" s="13"/>
      <c r="Z20" s="10"/>
      <c r="AA20" s="8"/>
      <c r="AC20" s="10">
        <f>SUMPRODUCT($C$4:$C$19,AC4:AC19)</f>
        <v>2282.529</v>
      </c>
      <c r="AE20" s="10">
        <f>SUMPRODUCT($C$4:$C$19,AE4:AE19)</f>
        <v>2282.529</v>
      </c>
      <c r="AF20" s="10">
        <f>SUMPRODUCT($C$4:$C$19,AF4:AF19)</f>
        <v>0</v>
      </c>
      <c r="AH20" s="10">
        <f>SUMPRODUCT($C$4:$C$19,AH4:AH19)</f>
        <v>2578.3604</v>
      </c>
      <c r="AJ20" s="10">
        <f>SUMPRODUCT($C$4:$C$19,AJ4:AJ19)</f>
        <v>2578.3604</v>
      </c>
      <c r="AK20" s="10">
        <f>SUMPRODUCT($C$4:$C$19,AK4:AK19)</f>
        <v>0</v>
      </c>
      <c r="AM20" s="10">
        <f>SUMPRODUCT($C$4:$C$19,AM4:AM19)</f>
        <v>0</v>
      </c>
      <c r="AU20" s="10">
        <f>SUMPRODUCT($C$4:$C$19,AU4:AU19)</f>
        <v>170.30971089092304</v>
      </c>
      <c r="AV20" s="10"/>
      <c r="AW20" s="10">
        <f>SUMPRODUCT($C$4:$C$19,AW4:AW19)</f>
        <v>170.30971089092304</v>
      </c>
      <c r="AZ20" s="76">
        <f>SUMPRODUCT($C$4:$C$19,AZ4:AZ19)</f>
        <v>0</v>
      </c>
      <c r="BA20" s="76"/>
      <c r="BE20" s="10">
        <f>SUMPRODUCT($C$4:$C$19,BE4:BE19)</f>
        <v>342.37934999999993</v>
      </c>
      <c r="BF20" s="10">
        <f>SUMPRODUCT($C$4:$C$19,BF4:BF19)</f>
        <v>5031.1991108909224</v>
      </c>
      <c r="BG20" s="14">
        <f>SUMPRODUCT($C$4:$C$19,BG4:BG19)</f>
        <v>2805.6627020780061</v>
      </c>
      <c r="BH20" s="14">
        <f>SUMPRODUCT($C$4:$C$19,BH4:BH19)</f>
        <v>151.45051751207083</v>
      </c>
      <c r="BJ20" s="49"/>
      <c r="BK20" s="49">
        <v>40</v>
      </c>
      <c r="BL20" s="47">
        <v>1</v>
      </c>
      <c r="BM20" s="47">
        <v>1</v>
      </c>
      <c r="BN20" s="47">
        <v>1</v>
      </c>
      <c r="BO20" s="47" t="s">
        <v>81</v>
      </c>
      <c r="BP20" s="47"/>
    </row>
    <row r="21" spans="1:68">
      <c r="BJ21" s="49">
        <v>40</v>
      </c>
      <c r="BK21" s="49">
        <v>60</v>
      </c>
      <c r="BL21" s="47">
        <v>0.5</v>
      </c>
      <c r="BM21" s="47">
        <v>0.5</v>
      </c>
      <c r="BN21" s="47">
        <v>1</v>
      </c>
      <c r="BO21" s="47" t="s">
        <v>75</v>
      </c>
      <c r="BP21" s="47"/>
    </row>
    <row r="22" spans="1:68">
      <c r="A22" s="32" t="s">
        <v>119</v>
      </c>
      <c r="B22" s="32"/>
      <c r="C22" s="32"/>
      <c r="D22" s="32"/>
      <c r="BJ22" s="49">
        <v>60</v>
      </c>
      <c r="BK22" s="49">
        <v>85</v>
      </c>
      <c r="BL22" s="47">
        <v>0.25</v>
      </c>
      <c r="BM22" s="47">
        <v>0</v>
      </c>
      <c r="BN22" s="47">
        <v>0</v>
      </c>
      <c r="BO22" s="47" t="s">
        <v>75</v>
      </c>
      <c r="BP22" s="47"/>
    </row>
    <row r="23" spans="1:68">
      <c r="A23" s="59" t="s">
        <v>99</v>
      </c>
      <c r="B23" s="34"/>
      <c r="C23" s="34"/>
      <c r="D23" s="34"/>
      <c r="E23" s="28"/>
      <c r="F23" s="34"/>
      <c r="H23" s="59" t="s">
        <v>100</v>
      </c>
      <c r="I23" s="34"/>
      <c r="K23" s="34" t="s">
        <v>103</v>
      </c>
      <c r="L23" s="34"/>
      <c r="M23" s="34"/>
      <c r="N23" s="34"/>
      <c r="O23" s="34"/>
      <c r="P23" s="34"/>
      <c r="R23" s="32" t="s">
        <v>104</v>
      </c>
      <c r="S23" s="32"/>
      <c r="T23" s="32"/>
      <c r="U23" s="32"/>
      <c r="V23" s="32"/>
      <c r="X23" s="32" t="s">
        <v>168</v>
      </c>
      <c r="Y23" s="32"/>
      <c r="Z23" s="32"/>
      <c r="AA23" s="32"/>
      <c r="AB23" s="32"/>
      <c r="BJ23" s="49">
        <v>85</v>
      </c>
      <c r="BK23" s="49">
        <v>8500</v>
      </c>
      <c r="BL23" s="47">
        <v>0</v>
      </c>
      <c r="BM23" s="47">
        <v>0</v>
      </c>
      <c r="BN23" s="47">
        <v>0</v>
      </c>
      <c r="BO23" s="47"/>
      <c r="BP23" s="41"/>
    </row>
    <row r="24" spans="1:68">
      <c r="A24" s="50" t="s">
        <v>45</v>
      </c>
      <c r="B24" s="50" t="s">
        <v>47</v>
      </c>
      <c r="C24" s="50" t="s">
        <v>46</v>
      </c>
      <c r="D24" s="50" t="s">
        <v>201</v>
      </c>
      <c r="E24" s="28" t="s">
        <v>202</v>
      </c>
      <c r="F24" s="55" t="s">
        <v>203</v>
      </c>
      <c r="H24" s="55" t="s">
        <v>101</v>
      </c>
      <c r="I24" s="55" t="s">
        <v>102</v>
      </c>
      <c r="K24" s="55" t="s">
        <v>102</v>
      </c>
      <c r="L24" s="55" t="s">
        <v>95</v>
      </c>
      <c r="M24" s="55" t="s">
        <v>91</v>
      </c>
      <c r="N24" s="55" t="s">
        <v>92</v>
      </c>
      <c r="O24" s="55" t="s">
        <v>93</v>
      </c>
      <c r="P24" s="55" t="s">
        <v>94</v>
      </c>
      <c r="R24" s="52" t="s">
        <v>32</v>
      </c>
      <c r="S24" s="51" t="s">
        <v>49</v>
      </c>
      <c r="T24" s="51" t="s">
        <v>34</v>
      </c>
      <c r="U24" s="51" t="s">
        <v>50</v>
      </c>
      <c r="V24" s="51" t="s">
        <v>51</v>
      </c>
      <c r="X24" s="52" t="s">
        <v>171</v>
      </c>
      <c r="Y24" s="51" t="s">
        <v>53</v>
      </c>
      <c r="Z24" s="51" t="s">
        <v>169</v>
      </c>
      <c r="AA24" s="51" t="s">
        <v>170</v>
      </c>
      <c r="AB24" s="51"/>
    </row>
    <row r="25" spans="1:68">
      <c r="A25" s="1" t="s">
        <v>121</v>
      </c>
      <c r="B25" s="1">
        <v>1</v>
      </c>
      <c r="C25" s="1">
        <v>1</v>
      </c>
      <c r="D25" s="39">
        <v>63.26</v>
      </c>
      <c r="E25" s="39">
        <v>93.8</v>
      </c>
      <c r="F25" s="39">
        <v>19</v>
      </c>
      <c r="H25" s="54">
        <v>2141</v>
      </c>
      <c r="I25" s="6">
        <f>F25*H25</f>
        <v>40679</v>
      </c>
      <c r="K25" s="6">
        <f>L25*E25</f>
        <v>107059.41792000002</v>
      </c>
      <c r="L25" s="6">
        <f>M25*N25*O25*P25*1.3</f>
        <v>1141.3584000000003</v>
      </c>
      <c r="M25" s="6">
        <v>670</v>
      </c>
      <c r="N25" s="38">
        <f>N19</f>
        <v>1</v>
      </c>
      <c r="O25" s="38">
        <v>1.17</v>
      </c>
      <c r="P25" s="6">
        <f>SUMPRODUCT(($BJ$40:$BJ$65&lt;H25)*(H25&lt;=$BK$40:$BK$65)*$BL$40:$BL$65)</f>
        <v>1.1200000000000003</v>
      </c>
      <c r="R25" s="10">
        <v>177000</v>
      </c>
      <c r="S25" s="10">
        <v>141600</v>
      </c>
      <c r="T25" s="10">
        <f>S25*10%</f>
        <v>14160</v>
      </c>
      <c r="U25" s="10">
        <f>(S25-T25)*0.05/12</f>
        <v>531</v>
      </c>
      <c r="V25" s="10">
        <v>221250</v>
      </c>
      <c r="X25" s="10">
        <f>K25</f>
        <v>107059.41792000002</v>
      </c>
      <c r="Y25" s="155">
        <v>0.7</v>
      </c>
      <c r="Z25" s="154">
        <v>2.5000000000000001E-3</v>
      </c>
      <c r="AA25" s="10">
        <f>X25*Y25*Z25</f>
        <v>187.35398136000003</v>
      </c>
      <c r="AB25" s="10"/>
      <c r="BJ25" s="9" t="s">
        <v>76</v>
      </c>
    </row>
    <row r="26" spans="1:68">
      <c r="BJ26" s="41" t="s">
        <v>57</v>
      </c>
      <c r="BK26" s="41" t="s">
        <v>58</v>
      </c>
      <c r="BL26" s="41" t="s">
        <v>44</v>
      </c>
      <c r="BM26" s="48" t="s">
        <v>72</v>
      </c>
      <c r="BN26" s="41" t="s">
        <v>73</v>
      </c>
      <c r="BO26" s="41" t="s">
        <v>74</v>
      </c>
      <c r="BP26" s="41"/>
    </row>
    <row r="27" spans="1:68">
      <c r="BJ27" s="49"/>
      <c r="BK27" s="49">
        <v>40</v>
      </c>
      <c r="BL27" s="47">
        <v>1</v>
      </c>
      <c r="BM27" s="47">
        <v>1</v>
      </c>
      <c r="BN27" s="47">
        <v>1</v>
      </c>
      <c r="BO27" s="47" t="s">
        <v>77</v>
      </c>
      <c r="BP27" s="41"/>
    </row>
    <row r="28" spans="1:68">
      <c r="BJ28" s="49">
        <v>40</v>
      </c>
      <c r="BK28" s="49">
        <v>60</v>
      </c>
      <c r="BL28" s="47">
        <v>0.75</v>
      </c>
      <c r="BM28" s="47">
        <v>0.75</v>
      </c>
      <c r="BN28" s="47">
        <v>1</v>
      </c>
      <c r="BO28" s="47" t="s">
        <v>77</v>
      </c>
      <c r="BP28" s="41"/>
    </row>
    <row r="29" spans="1:68">
      <c r="BJ29" s="49">
        <v>60</v>
      </c>
      <c r="BK29" s="49">
        <v>85</v>
      </c>
      <c r="BL29" s="47">
        <v>0.5</v>
      </c>
      <c r="BM29" s="47">
        <v>0</v>
      </c>
      <c r="BN29" s="47">
        <v>0</v>
      </c>
      <c r="BO29" s="47" t="s">
        <v>77</v>
      </c>
      <c r="BP29" s="41"/>
    </row>
    <row r="30" spans="1:68">
      <c r="BJ30" s="49">
        <v>85</v>
      </c>
      <c r="BK30" s="49">
        <v>8500</v>
      </c>
      <c r="BL30" s="47">
        <v>0</v>
      </c>
      <c r="BM30" s="47">
        <v>0</v>
      </c>
      <c r="BN30" s="47">
        <v>0</v>
      </c>
      <c r="BO30" s="47"/>
      <c r="BP30" s="41"/>
    </row>
    <row r="32" spans="1:68">
      <c r="BJ32" s="9" t="s">
        <v>78</v>
      </c>
    </row>
    <row r="33" spans="62:68">
      <c r="BJ33" s="41" t="s">
        <v>57</v>
      </c>
      <c r="BK33" s="41" t="s">
        <v>58</v>
      </c>
      <c r="BL33" s="41" t="s">
        <v>44</v>
      </c>
      <c r="BM33" s="48" t="s">
        <v>72</v>
      </c>
      <c r="BN33" s="41" t="s">
        <v>73</v>
      </c>
      <c r="BO33" s="41" t="s">
        <v>74</v>
      </c>
      <c r="BP33" s="41"/>
    </row>
    <row r="34" spans="62:68">
      <c r="BJ34" s="49">
        <v>40</v>
      </c>
      <c r="BK34" s="49">
        <v>60</v>
      </c>
      <c r="BL34" s="47">
        <v>0.5</v>
      </c>
      <c r="BM34" s="47">
        <v>0.5</v>
      </c>
      <c r="BN34" s="47">
        <v>1</v>
      </c>
      <c r="BO34" s="47" t="s">
        <v>79</v>
      </c>
      <c r="BP34" s="41"/>
    </row>
    <row r="35" spans="62:68">
      <c r="BJ35" s="49">
        <v>60</v>
      </c>
      <c r="BK35" s="49">
        <v>85</v>
      </c>
      <c r="BL35" s="47">
        <v>0.25</v>
      </c>
      <c r="BM35" s="47">
        <v>0</v>
      </c>
      <c r="BN35" s="47">
        <v>0</v>
      </c>
      <c r="BO35" s="47" t="s">
        <v>79</v>
      </c>
      <c r="BP35" s="41"/>
    </row>
    <row r="36" spans="62:68">
      <c r="BJ36" s="49">
        <v>85</v>
      </c>
      <c r="BK36" s="49">
        <v>8500</v>
      </c>
      <c r="BL36" s="47">
        <v>0</v>
      </c>
      <c r="BM36" s="47">
        <v>0</v>
      </c>
      <c r="BN36" s="47">
        <v>0</v>
      </c>
      <c r="BO36" s="47"/>
      <c r="BP36" s="41"/>
    </row>
    <row r="38" spans="62:68">
      <c r="BJ38" s="9" t="s">
        <v>97</v>
      </c>
    </row>
    <row r="39" spans="62:68">
      <c r="BJ39" s="46" t="s">
        <v>57</v>
      </c>
      <c r="BK39" s="46" t="s">
        <v>58</v>
      </c>
      <c r="BL39" s="46" t="s">
        <v>96</v>
      </c>
    </row>
    <row r="40" spans="62:68">
      <c r="BJ40" s="57">
        <v>0</v>
      </c>
      <c r="BK40" s="57">
        <v>10</v>
      </c>
      <c r="BL40" s="56">
        <v>0.8</v>
      </c>
    </row>
    <row r="41" spans="62:68">
      <c r="BJ41" s="57">
        <v>10</v>
      </c>
      <c r="BK41" s="57">
        <v>30</v>
      </c>
      <c r="BL41" s="56">
        <v>0.82000000000000006</v>
      </c>
    </row>
    <row r="42" spans="62:68">
      <c r="BJ42" s="57">
        <v>30</v>
      </c>
      <c r="BK42" s="57">
        <v>50</v>
      </c>
      <c r="BL42" s="56">
        <v>0.84000000000000008</v>
      </c>
    </row>
    <row r="43" spans="62:68">
      <c r="BJ43" s="57">
        <v>50</v>
      </c>
      <c r="BK43" s="57">
        <v>100</v>
      </c>
      <c r="BL43" s="56">
        <v>0.8600000000000001</v>
      </c>
    </row>
    <row r="44" spans="62:68">
      <c r="BJ44" s="57">
        <v>100</v>
      </c>
      <c r="BK44" s="57">
        <v>150</v>
      </c>
      <c r="BL44" s="56">
        <v>0.88000000000000012</v>
      </c>
    </row>
    <row r="45" spans="62:68">
      <c r="BJ45" s="57">
        <v>150</v>
      </c>
      <c r="BK45" s="57">
        <v>200</v>
      </c>
      <c r="BL45" s="56">
        <v>0.90000000000000013</v>
      </c>
    </row>
    <row r="46" spans="62:68">
      <c r="BJ46" s="57">
        <v>200</v>
      </c>
      <c r="BK46" s="57">
        <v>350</v>
      </c>
      <c r="BL46" s="56">
        <v>0.92000000000000015</v>
      </c>
    </row>
    <row r="47" spans="62:68">
      <c r="BJ47" s="57">
        <v>350</v>
      </c>
      <c r="BK47" s="57">
        <v>500</v>
      </c>
      <c r="BL47" s="56">
        <v>0.94000000000000017</v>
      </c>
    </row>
    <row r="48" spans="62:68">
      <c r="BJ48" s="57">
        <v>500</v>
      </c>
      <c r="BK48" s="57">
        <v>650</v>
      </c>
      <c r="BL48" s="56">
        <v>0.96000000000000019</v>
      </c>
    </row>
    <row r="49" spans="5:64">
      <c r="BJ49" s="57">
        <v>650</v>
      </c>
      <c r="BK49" s="57">
        <v>800</v>
      </c>
      <c r="BL49" s="56">
        <v>0.9800000000000002</v>
      </c>
    </row>
    <row r="50" spans="5:64">
      <c r="BJ50" s="57">
        <v>800</v>
      </c>
      <c r="BK50" s="57">
        <v>1000</v>
      </c>
      <c r="BL50" s="56">
        <v>1.0000000000000002</v>
      </c>
    </row>
    <row r="51" spans="5:64">
      <c r="BJ51" s="57">
        <v>1000</v>
      </c>
      <c r="BK51" s="57">
        <v>1200</v>
      </c>
      <c r="BL51" s="56">
        <v>1.0300000000000002</v>
      </c>
    </row>
    <row r="52" spans="5:64">
      <c r="BJ52" s="57">
        <v>1200</v>
      </c>
      <c r="BK52" s="57">
        <v>1600</v>
      </c>
      <c r="BL52" s="56">
        <v>1.0600000000000003</v>
      </c>
    </row>
    <row r="53" spans="5:64">
      <c r="BJ53" s="57">
        <v>1600</v>
      </c>
      <c r="BK53" s="57">
        <v>2000</v>
      </c>
      <c r="BL53" s="56">
        <v>1.0900000000000003</v>
      </c>
    </row>
    <row r="54" spans="5:64" s="10" customFormat="1">
      <c r="G54" s="31"/>
      <c r="J54" s="31"/>
      <c r="Q54" s="31"/>
      <c r="W54" s="31"/>
      <c r="AG54" s="31"/>
      <c r="AL54" s="31"/>
      <c r="AN54" s="31"/>
      <c r="BJ54" s="57">
        <v>2000</v>
      </c>
      <c r="BK54" s="57">
        <v>2500</v>
      </c>
      <c r="BL54" s="56">
        <v>1.1200000000000003</v>
      </c>
    </row>
    <row r="55" spans="5:64" s="10" customFormat="1">
      <c r="G55" s="31"/>
      <c r="J55" s="31"/>
      <c r="Q55" s="31"/>
      <c r="W55" s="31"/>
      <c r="AG55" s="31"/>
      <c r="AL55" s="31"/>
      <c r="AN55" s="31"/>
      <c r="BJ55" s="57">
        <v>2500</v>
      </c>
      <c r="BK55" s="57">
        <v>3000</v>
      </c>
      <c r="BL55" s="56">
        <v>1.1500000000000004</v>
      </c>
    </row>
    <row r="56" spans="5:64">
      <c r="BJ56" s="57">
        <v>3000</v>
      </c>
      <c r="BK56" s="57">
        <v>4000</v>
      </c>
      <c r="BL56" s="56">
        <v>1.1800000000000004</v>
      </c>
    </row>
    <row r="57" spans="5:64">
      <c r="BJ57" s="57">
        <v>4000</v>
      </c>
      <c r="BK57" s="57">
        <v>5000</v>
      </c>
      <c r="BL57" s="56">
        <v>1.2100000000000004</v>
      </c>
    </row>
    <row r="58" spans="5:64">
      <c r="BJ58" s="57">
        <v>5000</v>
      </c>
      <c r="BK58" s="57">
        <v>6000</v>
      </c>
      <c r="BL58" s="56">
        <v>1.2400000000000004</v>
      </c>
    </row>
    <row r="59" spans="5:64">
      <c r="BJ59" s="57">
        <v>6000</v>
      </c>
      <c r="BK59" s="57">
        <v>7000</v>
      </c>
      <c r="BL59" s="56">
        <v>1.2700000000000005</v>
      </c>
    </row>
    <row r="60" spans="5:64">
      <c r="E60" s="58"/>
      <c r="F60" s="10"/>
      <c r="G60" s="31"/>
      <c r="BJ60" s="57">
        <v>7000</v>
      </c>
      <c r="BK60" s="57">
        <v>8000</v>
      </c>
      <c r="BL60" s="56">
        <v>1.3000000000000005</v>
      </c>
    </row>
    <row r="61" spans="5:64">
      <c r="E61" s="58"/>
      <c r="F61" s="10"/>
      <c r="G61" s="31"/>
      <c r="BJ61" s="57">
        <v>8000</v>
      </c>
      <c r="BK61" s="57">
        <v>9000</v>
      </c>
      <c r="BL61" s="56">
        <v>1.3300000000000005</v>
      </c>
    </row>
    <row r="62" spans="5:64">
      <c r="E62" s="58"/>
      <c r="F62" s="10"/>
      <c r="G62" s="31"/>
      <c r="BJ62" s="57">
        <v>9000</v>
      </c>
      <c r="BK62" s="57">
        <v>10000</v>
      </c>
      <c r="BL62" s="56">
        <v>1.3600000000000005</v>
      </c>
    </row>
    <row r="63" spans="5:64">
      <c r="E63" s="58"/>
      <c r="F63" s="10"/>
      <c r="G63" s="31"/>
      <c r="BJ63" s="57">
        <v>10000</v>
      </c>
      <c r="BK63" s="57">
        <v>30000</v>
      </c>
      <c r="BL63" s="56">
        <v>1.4</v>
      </c>
    </row>
    <row r="64" spans="5:64">
      <c r="E64" s="58"/>
      <c r="F64" s="10"/>
      <c r="G64" s="31"/>
      <c r="BJ64" s="57">
        <v>30000</v>
      </c>
      <c r="BK64" s="57">
        <v>50000</v>
      </c>
      <c r="BL64" s="56">
        <v>1.45</v>
      </c>
    </row>
    <row r="65" spans="5:64">
      <c r="E65" s="58"/>
      <c r="F65" s="10"/>
      <c r="G65" s="31"/>
      <c r="BJ65" s="100">
        <v>50000</v>
      </c>
      <c r="BK65" s="100">
        <v>50000000</v>
      </c>
      <c r="BL65" s="56">
        <v>1.5</v>
      </c>
    </row>
    <row r="66" spans="5:64">
      <c r="E66" s="58"/>
      <c r="F66" s="10"/>
      <c r="G66" s="31"/>
    </row>
    <row r="67" spans="5:64">
      <c r="E67" s="58"/>
      <c r="F67" s="10"/>
      <c r="G67" s="31"/>
    </row>
    <row r="68" spans="5:64">
      <c r="E68" s="58"/>
      <c r="F68" s="10"/>
      <c r="G68" s="31"/>
    </row>
    <row r="69" spans="5:64">
      <c r="E69" s="58"/>
      <c r="F69" s="10"/>
      <c r="G69" s="31"/>
    </row>
    <row r="70" spans="5:64">
      <c r="E70" s="58"/>
      <c r="F70" s="10"/>
      <c r="G70" s="31"/>
    </row>
    <row r="71" spans="5:64">
      <c r="E71" s="58"/>
      <c r="F71" s="10"/>
      <c r="G71" s="31"/>
    </row>
    <row r="72" spans="5:64">
      <c r="E72" s="58"/>
      <c r="F72" s="10"/>
      <c r="G72" s="31"/>
    </row>
    <row r="73" spans="5:64">
      <c r="E73" s="58"/>
      <c r="F73" s="10"/>
      <c r="G73" s="31"/>
    </row>
    <row r="74" spans="5:64">
      <c r="E74" s="58"/>
      <c r="F74" s="10"/>
      <c r="G74" s="31"/>
    </row>
    <row r="75" spans="5:64">
      <c r="E75" s="58"/>
      <c r="F75" s="10"/>
      <c r="G75" s="31"/>
    </row>
    <row r="76" spans="5:64">
      <c r="E76" s="58"/>
      <c r="F76" s="10"/>
      <c r="G76" s="31"/>
    </row>
    <row r="77" spans="5:64">
      <c r="E77" s="58"/>
      <c r="F77" s="10"/>
      <c r="G77" s="31"/>
    </row>
    <row r="78" spans="5:64">
      <c r="E78" s="58"/>
      <c r="F78" s="10"/>
      <c r="G78" s="31"/>
    </row>
    <row r="79" spans="5:64">
      <c r="E79" s="58"/>
      <c r="F79" s="10"/>
      <c r="G79" s="31"/>
    </row>
    <row r="80" spans="5:64">
      <c r="E80" s="58"/>
      <c r="F80" s="10"/>
      <c r="G80" s="31"/>
    </row>
    <row r="81" spans="5:40">
      <c r="E81" s="58"/>
      <c r="F81" s="10"/>
      <c r="G81" s="31"/>
    </row>
    <row r="82" spans="5:40">
      <c r="E82" s="58"/>
      <c r="F82" s="10"/>
      <c r="G82" s="31"/>
    </row>
    <row r="83" spans="5:40">
      <c r="E83" s="58"/>
      <c r="F83" s="10"/>
      <c r="G83" s="31"/>
    </row>
    <row r="84" spans="5:40">
      <c r="E84" s="58"/>
      <c r="F84" s="10"/>
      <c r="G84" s="31"/>
    </row>
    <row r="85" spans="5:40" s="99" customFormat="1">
      <c r="E85" s="101"/>
      <c r="F85" s="102"/>
      <c r="G85" s="103"/>
      <c r="J85" s="104"/>
      <c r="Q85" s="104"/>
      <c r="W85" s="104"/>
      <c r="AG85" s="104"/>
      <c r="AL85" s="104"/>
      <c r="AN85" s="104"/>
    </row>
  </sheetData>
  <phoneticPr fontId="2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Cash</vt:lpstr>
      <vt:lpstr>사업개요</vt:lpstr>
      <vt:lpstr>시설개요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2018-09-13T05:18:32Z</dcterms:created>
  <dcterms:modified xsi:type="dcterms:W3CDTF">2018-12-07T09:14:33Z</dcterms:modified>
</cp:coreProperties>
</file>